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202300"/>
  <mc:AlternateContent xmlns:mc="http://schemas.openxmlformats.org/markup-compatibility/2006">
    <mc:Choice Requires="x15">
      <x15ac:absPath xmlns:x15ac="http://schemas.microsoft.com/office/spreadsheetml/2010/11/ac" url="I:\NewDev\Program Staff\Mitch E\Projects\Proforma\Small Project\"/>
    </mc:Choice>
  </mc:AlternateContent>
  <xr:revisionPtr revIDLastSave="0" documentId="13_ncr:1_{0496A3F7-1670-44B6-A8CD-F1136C659BA8}" xr6:coauthVersionLast="47" xr6:coauthVersionMax="47" xr10:uidLastSave="{00000000-0000-0000-0000-000000000000}"/>
  <workbookProtection workbookAlgorithmName="SHA-512" workbookHashValue="hPXoj4lrB6PMhZ6pvkKbBALL+MpqviSFk0EREZllUOHRK8DJ2q7tQeVu70nngUwDv8UHpNAdW8RwOE+KYIb5pw==" workbookSaltValue="vYyDLqFx/S/8kogG0DzClg==" workbookSpinCount="100000" lockStructure="1"/>
  <bookViews>
    <workbookView xWindow="13755" yWindow="-16470" windowWidth="29040" windowHeight="15720" tabRatio="733" firstSheet="2" activeTab="2" xr2:uid="{DD74CA16-C46B-4D08-8D8E-8F4A429946D9}"/>
  </bookViews>
  <sheets>
    <sheet name="LO Inputs" sheetId="7" state="hidden" r:id="rId1"/>
    <sheet name="Dropdowns" sheetId="8" state="hidden" r:id="rId2"/>
    <sheet name="Cover" sheetId="12" r:id="rId3"/>
    <sheet name="Instructions" sheetId="10" r:id="rId4"/>
    <sheet name="Project &amp; Applicant Information" sheetId="5" r:id="rId5"/>
    <sheet name="Operating Budget" sheetId="1" r:id="rId6"/>
    <sheet name="Development Costs" sheetId="3" r:id="rId7"/>
    <sheet name="Sources of Funds" sheetId="2" r:id="rId8"/>
    <sheet name="MH Underwriting" sheetId="6" r:id="rId9"/>
  </sheets>
  <definedNames>
    <definedName name="_xlnm.Print_Area" localSheetId="8">'MH Underwriting'!$A$1:$U$280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8" i="3" l="1"/>
  <c r="E47" i="3" s="1"/>
  <c r="O48" i="3"/>
  <c r="E40" i="3"/>
  <c r="N41" i="3"/>
  <c r="O41" i="3"/>
  <c r="E31" i="3"/>
  <c r="N32" i="3"/>
  <c r="N25" i="3"/>
  <c r="E24" i="3" s="1"/>
  <c r="O25" i="3"/>
  <c r="O32" i="3" s="1"/>
  <c r="I21" i="1"/>
  <c r="O11" i="6"/>
  <c r="Q92" i="6" l="1"/>
  <c r="N6" i="7"/>
  <c r="G70" i="6" l="1"/>
  <c r="N98" i="6" l="1"/>
  <c r="M170" i="6"/>
  <c r="E51" i="3" l="1"/>
  <c r="E52" i="3"/>
  <c r="J79" i="1" l="1"/>
  <c r="J73" i="1"/>
  <c r="J62" i="1"/>
  <c r="J55" i="1"/>
  <c r="J56" i="1" s="1"/>
  <c r="Q53" i="6" l="1"/>
  <c r="O20" i="6"/>
  <c r="K20" i="6"/>
  <c r="O19" i="6"/>
  <c r="K19" i="6"/>
  <c r="O18" i="6"/>
  <c r="K18" i="6"/>
  <c r="O17" i="6"/>
  <c r="K17" i="6"/>
  <c r="O16" i="6"/>
  <c r="K16" i="6"/>
  <c r="K21" i="6" l="1"/>
  <c r="O21" i="6"/>
  <c r="I117" i="6"/>
  <c r="I118" i="6"/>
  <c r="I119" i="6"/>
  <c r="I116" i="6"/>
  <c r="I113" i="6"/>
  <c r="I114" i="6"/>
  <c r="I115" i="6"/>
  <c r="I112" i="6"/>
  <c r="R180" i="6" l="1"/>
  <c r="R179" i="6"/>
  <c r="R177" i="6"/>
  <c r="R176" i="6"/>
  <c r="R175" i="6"/>
  <c r="R173" i="6"/>
  <c r="R172" i="6"/>
  <c r="R171" i="6"/>
  <c r="R170" i="6"/>
  <c r="R169" i="6"/>
  <c r="R168" i="6"/>
  <c r="R167" i="6"/>
  <c r="R166" i="6"/>
  <c r="R164" i="6"/>
  <c r="R163" i="6"/>
  <c r="R162" i="6"/>
  <c r="R161" i="6"/>
  <c r="R156" i="6"/>
  <c r="R157" i="6"/>
  <c r="R158" i="6"/>
  <c r="R159" i="6"/>
  <c r="R155" i="6"/>
  <c r="Q135" i="6"/>
  <c r="Q136" i="6" s="1"/>
  <c r="Q130" i="6"/>
  <c r="Q131" i="6" s="1"/>
  <c r="Q134" i="6"/>
  <c r="Q129" i="6"/>
  <c r="Q138" i="6" l="1"/>
  <c r="R178" i="6"/>
  <c r="R174" i="6"/>
  <c r="R165" i="6"/>
  <c r="R160" i="6"/>
  <c r="R182" i="6" l="1"/>
  <c r="H191" i="6" s="1"/>
  <c r="M171" i="6"/>
  <c r="H194" i="6" s="1"/>
  <c r="L170" i="6"/>
  <c r="L168" i="6"/>
  <c r="M168" i="6" s="1"/>
  <c r="G170" i="6"/>
  <c r="G171" i="6"/>
  <c r="G168" i="6"/>
  <c r="K169" i="6"/>
  <c r="H195" i="6" l="1"/>
  <c r="H196" i="6" s="1"/>
  <c r="G80" i="6"/>
  <c r="G81" i="6"/>
  <c r="G82" i="6"/>
  <c r="G79" i="6"/>
  <c r="I16" i="1"/>
  <c r="H16" i="1"/>
  <c r="A22" i="1" l="1"/>
  <c r="A23" i="1"/>
  <c r="A24" i="1"/>
  <c r="A25" i="1"/>
  <c r="A26" i="1"/>
  <c r="A27" i="1"/>
  <c r="A28" i="1"/>
  <c r="B28" i="1" s="1"/>
  <c r="A29" i="1"/>
  <c r="A30" i="1"/>
  <c r="A31" i="1"/>
  <c r="A21" i="1"/>
  <c r="A155" i="6"/>
  <c r="B29" i="1"/>
  <c r="C29" i="1" s="1" a="1"/>
  <c r="C29" i="1" s="1"/>
  <c r="B30" i="1"/>
  <c r="C30" i="1" s="1" a="1"/>
  <c r="C30" i="1" s="1"/>
  <c r="B31" i="1"/>
  <c r="C31" i="1" s="1" a="1"/>
  <c r="C31" i="1" s="1"/>
  <c r="F3" i="6"/>
  <c r="F2" i="6"/>
  <c r="R62" i="6" s="1"/>
  <c r="R126" i="6" s="1"/>
  <c r="B27" i="1" l="1"/>
  <c r="B26" i="1"/>
  <c r="A156" i="6"/>
  <c r="B25" i="1"/>
  <c r="B24" i="1"/>
  <c r="B23" i="1"/>
  <c r="B21" i="1"/>
  <c r="B22" i="1"/>
  <c r="C27" i="1" l="1" a="1"/>
  <c r="C27" i="1" s="1"/>
  <c r="C28" i="1" a="1"/>
  <c r="C28" i="1" s="1"/>
  <c r="C26" i="1" a="1"/>
  <c r="C26" i="1" s="1"/>
  <c r="A157" i="6"/>
  <c r="C25" i="1" a="1"/>
  <c r="C25" i="1" s="1"/>
  <c r="C24" i="1" a="1"/>
  <c r="C24" i="1" s="1"/>
  <c r="C21" i="1" a="1"/>
  <c r="C21" i="1" s="1"/>
  <c r="C23" i="1" a="1"/>
  <c r="C23" i="1" s="1"/>
  <c r="C22" i="1" a="1"/>
  <c r="C22" i="1" s="1"/>
  <c r="D155" i="6" l="1"/>
  <c r="F155" i="6"/>
  <c r="E155" i="6"/>
  <c r="G155" i="6"/>
  <c r="H155" i="6"/>
  <c r="K155" i="6"/>
  <c r="I155" i="6"/>
  <c r="G156" i="6"/>
  <c r="F156" i="6"/>
  <c r="K156" i="6"/>
  <c r="H156" i="6"/>
  <c r="A158" i="6"/>
  <c r="K157" i="6"/>
  <c r="H157" i="6"/>
  <c r="I157" i="6"/>
  <c r="D157" i="6"/>
  <c r="E157" i="6"/>
  <c r="G157" i="6"/>
  <c r="F157" i="6"/>
  <c r="E156" i="6"/>
  <c r="D156" i="6"/>
  <c r="J155" i="6" l="1"/>
  <c r="L155" i="6" s="1"/>
  <c r="J157" i="6"/>
  <c r="L157" i="6" s="1"/>
  <c r="A159" i="6"/>
  <c r="K158" i="6"/>
  <c r="H158" i="6"/>
  <c r="F158" i="6"/>
  <c r="D158" i="6"/>
  <c r="E158" i="6"/>
  <c r="G158" i="6"/>
  <c r="M155" i="6"/>
  <c r="M157" i="6" l="1"/>
  <c r="A160" i="6"/>
  <c r="K159" i="6"/>
  <c r="H159" i="6"/>
  <c r="E159" i="6"/>
  <c r="G159" i="6"/>
  <c r="D159" i="6"/>
  <c r="F159" i="6"/>
  <c r="A161" i="6" l="1"/>
  <c r="H160" i="6"/>
  <c r="K160" i="6"/>
  <c r="F160" i="6"/>
  <c r="D160" i="6"/>
  <c r="E160" i="6"/>
  <c r="G160" i="6"/>
  <c r="M117" i="6"/>
  <c r="M118" i="6"/>
  <c r="M119" i="6"/>
  <c r="M116" i="6"/>
  <c r="M115" i="6"/>
  <c r="M113" i="6"/>
  <c r="M114" i="6"/>
  <c r="M112" i="6"/>
  <c r="L117" i="6"/>
  <c r="L118" i="6"/>
  <c r="L119" i="6"/>
  <c r="L116" i="6"/>
  <c r="K118" i="6"/>
  <c r="K119" i="6"/>
  <c r="K117" i="6"/>
  <c r="L113" i="6"/>
  <c r="L114" i="6"/>
  <c r="L115" i="6"/>
  <c r="L112" i="6"/>
  <c r="D120" i="6"/>
  <c r="K116" i="6"/>
  <c r="K113" i="6"/>
  <c r="K114" i="6"/>
  <c r="K115" i="6"/>
  <c r="K112" i="6"/>
  <c r="P100" i="6"/>
  <c r="A162" i="6" l="1"/>
  <c r="H161" i="6"/>
  <c r="K161" i="6"/>
  <c r="E161" i="6"/>
  <c r="G161" i="6"/>
  <c r="F161" i="6"/>
  <c r="D161" i="6"/>
  <c r="Q118" i="6"/>
  <c r="P118" i="6"/>
  <c r="G84" i="6"/>
  <c r="Q84" i="6" s="1"/>
  <c r="G117" i="6" s="1"/>
  <c r="G85" i="6"/>
  <c r="Q85" i="6" s="1"/>
  <c r="G118" i="6" s="1"/>
  <c r="G86" i="6"/>
  <c r="Q86" i="6" s="1"/>
  <c r="G119" i="6" s="1"/>
  <c r="G83" i="6"/>
  <c r="Q83" i="6" s="1"/>
  <c r="G116" i="6" s="1"/>
  <c r="Q80" i="6"/>
  <c r="Q81" i="6"/>
  <c r="Q82" i="6"/>
  <c r="G77" i="6"/>
  <c r="Q77" i="6" s="1"/>
  <c r="G115" i="6" s="1"/>
  <c r="G76" i="6"/>
  <c r="Q76" i="6" s="1"/>
  <c r="G114" i="6" s="1"/>
  <c r="G75" i="6"/>
  <c r="Q75" i="6" s="1"/>
  <c r="G113" i="6" s="1"/>
  <c r="G74" i="6"/>
  <c r="Q74" i="6" s="1"/>
  <c r="G112" i="6" s="1"/>
  <c r="N112" i="6" s="1"/>
  <c r="G66" i="6"/>
  <c r="I66" i="6" s="1"/>
  <c r="D86" i="6"/>
  <c r="D119" i="6" s="1"/>
  <c r="D85" i="6"/>
  <c r="D118" i="6" s="1"/>
  <c r="D84" i="6"/>
  <c r="D117" i="6" s="1"/>
  <c r="D83" i="6"/>
  <c r="D116" i="6" s="1"/>
  <c r="D82" i="6"/>
  <c r="D81" i="6"/>
  <c r="D80" i="6"/>
  <c r="D79" i="6"/>
  <c r="D77" i="6"/>
  <c r="D115" i="6" s="1"/>
  <c r="D76" i="6"/>
  <c r="D114" i="6" s="1"/>
  <c r="D75" i="6"/>
  <c r="D113" i="6" s="1"/>
  <c r="D74" i="6"/>
  <c r="D112" i="6" s="1"/>
  <c r="E12" i="3"/>
  <c r="E14" i="3" s="1"/>
  <c r="N119" i="6" l="1"/>
  <c r="N118" i="6"/>
  <c r="N117" i="6"/>
  <c r="N116" i="6"/>
  <c r="N115" i="6"/>
  <c r="N114" i="6"/>
  <c r="N113" i="6"/>
  <c r="A112" i="6"/>
  <c r="D208" i="6"/>
  <c r="D239" i="6" s="1"/>
  <c r="D270" i="6" s="1"/>
  <c r="A113" i="6"/>
  <c r="A209" i="6" s="1"/>
  <c r="A240" i="6" s="1"/>
  <c r="A271" i="6" s="1"/>
  <c r="D209" i="6"/>
  <c r="D240" i="6" s="1"/>
  <c r="D271" i="6" s="1"/>
  <c r="A114" i="6"/>
  <c r="A210" i="6" s="1"/>
  <c r="A241" i="6" s="1"/>
  <c r="A272" i="6" s="1"/>
  <c r="D210" i="6"/>
  <c r="D241" i="6" s="1"/>
  <c r="D272" i="6" s="1"/>
  <c r="A115" i="6"/>
  <c r="A211" i="6" s="1"/>
  <c r="A242" i="6" s="1"/>
  <c r="A273" i="6" s="1"/>
  <c r="D211" i="6"/>
  <c r="D242" i="6" s="1"/>
  <c r="D273" i="6" s="1"/>
  <c r="A116" i="6"/>
  <c r="A212" i="6" s="1"/>
  <c r="A243" i="6" s="1"/>
  <c r="A274" i="6" s="1"/>
  <c r="D212" i="6"/>
  <c r="D243" i="6" s="1"/>
  <c r="D274" i="6" s="1"/>
  <c r="A117" i="6"/>
  <c r="A213" i="6" s="1"/>
  <c r="A244" i="6" s="1"/>
  <c r="A275" i="6" s="1"/>
  <c r="D213" i="6"/>
  <c r="D244" i="6" s="1"/>
  <c r="D275" i="6" s="1"/>
  <c r="A118" i="6"/>
  <c r="A214" i="6" s="1"/>
  <c r="A245" i="6" s="1"/>
  <c r="A276" i="6" s="1"/>
  <c r="D214" i="6"/>
  <c r="D245" i="6" s="1"/>
  <c r="D276" i="6" s="1"/>
  <c r="A119" i="6"/>
  <c r="A215" i="6" s="1"/>
  <c r="A246" i="6" s="1"/>
  <c r="A277" i="6" s="1"/>
  <c r="D215" i="6"/>
  <c r="D246" i="6" s="1"/>
  <c r="D277" i="6" s="1"/>
  <c r="A163" i="6"/>
  <c r="K162" i="6"/>
  <c r="H162" i="6"/>
  <c r="G162" i="6"/>
  <c r="D162" i="6"/>
  <c r="F162" i="6"/>
  <c r="E162" i="6"/>
  <c r="Q79" i="6"/>
  <c r="N103" i="6"/>
  <c r="Q103" i="6" s="1"/>
  <c r="L66" i="6"/>
  <c r="N66" i="6" s="1"/>
  <c r="F189" i="6" s="1"/>
  <c r="K66" i="6"/>
  <c r="J66" i="6"/>
  <c r="G130" i="6" l="1"/>
  <c r="F130" i="6"/>
  <c r="H130" i="6" s="1"/>
  <c r="L129" i="6"/>
  <c r="G129" i="6"/>
  <c r="F129" i="6"/>
  <c r="G189" i="6"/>
  <c r="A208" i="6"/>
  <c r="A239" i="6" s="1"/>
  <c r="A270" i="6" s="1"/>
  <c r="A164" i="6"/>
  <c r="I163" i="6"/>
  <c r="K163" i="6"/>
  <c r="H163" i="6"/>
  <c r="E163" i="6"/>
  <c r="G163" i="6"/>
  <c r="D163" i="6"/>
  <c r="F163" i="6"/>
  <c r="M163" i="6" s="1"/>
  <c r="Q9" i="6"/>
  <c r="P9" i="6"/>
  <c r="O9" i="6"/>
  <c r="O57" i="6"/>
  <c r="O56" i="6"/>
  <c r="O55" i="6"/>
  <c r="O54" i="6"/>
  <c r="O50" i="6"/>
  <c r="O49" i="6"/>
  <c r="O48" i="6"/>
  <c r="O47" i="6"/>
  <c r="O42" i="6"/>
  <c r="O43" i="6"/>
  <c r="O44" i="6"/>
  <c r="O41" i="6"/>
  <c r="O40" i="6"/>
  <c r="O39" i="6"/>
  <c r="O34" i="6"/>
  <c r="O35" i="6"/>
  <c r="O36" i="6"/>
  <c r="O33" i="6"/>
  <c r="O24" i="6"/>
  <c r="O25" i="6"/>
  <c r="O26" i="6"/>
  <c r="O27" i="6"/>
  <c r="O28" i="6"/>
  <c r="O29" i="6"/>
  <c r="O30" i="6"/>
  <c r="O23" i="6"/>
  <c r="K57" i="6"/>
  <c r="K56" i="6"/>
  <c r="K55" i="6"/>
  <c r="K54" i="6"/>
  <c r="K50" i="6"/>
  <c r="K49" i="6"/>
  <c r="K48" i="6"/>
  <c r="K47" i="6"/>
  <c r="K42" i="6"/>
  <c r="K43" i="6"/>
  <c r="Q43" i="6" s="1"/>
  <c r="K44" i="6"/>
  <c r="K41" i="6"/>
  <c r="K40" i="6"/>
  <c r="K39" i="6"/>
  <c r="K34" i="6"/>
  <c r="K35" i="6"/>
  <c r="K36" i="6"/>
  <c r="H32" i="3"/>
  <c r="F32" i="3"/>
  <c r="E32" i="3"/>
  <c r="K33" i="6"/>
  <c r="K26" i="6"/>
  <c r="K27" i="6"/>
  <c r="K28" i="6"/>
  <c r="K29" i="6"/>
  <c r="K30" i="6"/>
  <c r="K24" i="6"/>
  <c r="K25" i="6"/>
  <c r="K23" i="6"/>
  <c r="K10" i="6"/>
  <c r="K9" i="6"/>
  <c r="K8" i="6"/>
  <c r="K7" i="6"/>
  <c r="F33" i="1"/>
  <c r="K6" i="6" s="1"/>
  <c r="E41" i="3"/>
  <c r="E55" i="3"/>
  <c r="E48" i="3"/>
  <c r="E25" i="3"/>
  <c r="F48" i="3"/>
  <c r="H48" i="3"/>
  <c r="K42" i="1"/>
  <c r="K41" i="1"/>
  <c r="K35" i="1"/>
  <c r="J21" i="1"/>
  <c r="K21" i="1" s="1"/>
  <c r="H12" i="3"/>
  <c r="H14" i="3" s="1"/>
  <c r="H55" i="3"/>
  <c r="H41" i="3"/>
  <c r="H25" i="3"/>
  <c r="G131" i="6" l="1"/>
  <c r="H129" i="6"/>
  <c r="H131" i="6" s="1"/>
  <c r="F131" i="6"/>
  <c r="N5" i="7"/>
  <c r="L130" i="6"/>
  <c r="G214" i="6"/>
  <c r="G215" i="6"/>
  <c r="G213" i="6"/>
  <c r="G210" i="6"/>
  <c r="G211" i="6"/>
  <c r="G209" i="6"/>
  <c r="H189" i="6"/>
  <c r="F188" i="6"/>
  <c r="G188" i="6" s="1"/>
  <c r="M53" i="6"/>
  <c r="Q50" i="6"/>
  <c r="Q35" i="6"/>
  <c r="N94" i="6" s="1"/>
  <c r="Q36" i="6"/>
  <c r="E57" i="3"/>
  <c r="Q34" i="6"/>
  <c r="Q19" i="6"/>
  <c r="Q18" i="6"/>
  <c r="Q49" i="6"/>
  <c r="Q33" i="6"/>
  <c r="Q24" i="6"/>
  <c r="Q20" i="6"/>
  <c r="Q30" i="6"/>
  <c r="J163" i="6"/>
  <c r="L163" i="6" s="1"/>
  <c r="A165" i="6"/>
  <c r="I164" i="6"/>
  <c r="H164" i="6"/>
  <c r="K164" i="6"/>
  <c r="D164" i="6"/>
  <c r="E164" i="6"/>
  <c r="G164" i="6"/>
  <c r="F164" i="6"/>
  <c r="K58" i="6"/>
  <c r="Q25" i="6"/>
  <c r="Q28" i="6"/>
  <c r="Q27" i="6"/>
  <c r="Q42" i="6"/>
  <c r="Q26" i="6"/>
  <c r="Q47" i="6"/>
  <c r="Q48" i="6"/>
  <c r="Q16" i="6"/>
  <c r="Q17" i="6"/>
  <c r="Q55" i="6"/>
  <c r="O45" i="6"/>
  <c r="K31" i="6"/>
  <c r="K37" i="6"/>
  <c r="Q56" i="6"/>
  <c r="G98" i="6" s="1"/>
  <c r="K45" i="6"/>
  <c r="M45" i="6" s="1"/>
  <c r="Q57" i="6"/>
  <c r="Q40" i="6"/>
  <c r="M21" i="6"/>
  <c r="Q41" i="6"/>
  <c r="M37" i="6"/>
  <c r="Q29" i="6"/>
  <c r="Q44" i="6"/>
  <c r="O37" i="6"/>
  <c r="M39" i="6"/>
  <c r="K94" i="6"/>
  <c r="M24" i="6"/>
  <c r="M40" i="6"/>
  <c r="M55" i="6"/>
  <c r="K51" i="6"/>
  <c r="M51" i="6" s="1"/>
  <c r="M25" i="6"/>
  <c r="M41" i="6"/>
  <c r="M56" i="6"/>
  <c r="M26" i="6"/>
  <c r="M57" i="6"/>
  <c r="Q23" i="6"/>
  <c r="Q39" i="6"/>
  <c r="Q54" i="6"/>
  <c r="M23" i="6"/>
  <c r="M58" i="6"/>
  <c r="O31" i="6"/>
  <c r="M42" i="6"/>
  <c r="M28" i="6"/>
  <c r="M43" i="6"/>
  <c r="M54" i="6"/>
  <c r="M29" i="6"/>
  <c r="M44" i="6"/>
  <c r="M30" i="6"/>
  <c r="M16" i="6"/>
  <c r="M31" i="6"/>
  <c r="M47" i="6"/>
  <c r="M17" i="6"/>
  <c r="M33" i="6"/>
  <c r="M48" i="6"/>
  <c r="M27" i="6"/>
  <c r="M18" i="6"/>
  <c r="M34" i="6"/>
  <c r="M49" i="6"/>
  <c r="M19" i="6"/>
  <c r="M35" i="6"/>
  <c r="M50" i="6"/>
  <c r="M20" i="6"/>
  <c r="M36" i="6"/>
  <c r="O58" i="6"/>
  <c r="O51" i="6"/>
  <c r="I10" i="6"/>
  <c r="I9" i="6"/>
  <c r="I8" i="6"/>
  <c r="I7" i="6"/>
  <c r="H57" i="3"/>
  <c r="D36" i="2" s="1"/>
  <c r="D38" i="2" s="1"/>
  <c r="H208" i="6" l="1"/>
  <c r="H215" i="6"/>
  <c r="H211" i="6"/>
  <c r="H210" i="6"/>
  <c r="H212" i="6"/>
  <c r="H213" i="6"/>
  <c r="H214" i="6"/>
  <c r="H209" i="6"/>
  <c r="G212" i="6"/>
  <c r="G217" i="6" s="1"/>
  <c r="G208" i="6"/>
  <c r="G216" i="6" s="1"/>
  <c r="G191" i="6"/>
  <c r="I189" i="6"/>
  <c r="G194" i="6"/>
  <c r="L94" i="6"/>
  <c r="J94" i="6"/>
  <c r="I94" i="6"/>
  <c r="D43" i="2"/>
  <c r="Q128" i="6"/>
  <c r="Q45" i="6"/>
  <c r="G95" i="6" s="1"/>
  <c r="Q95" i="6" s="1"/>
  <c r="Q58" i="6"/>
  <c r="J164" i="6"/>
  <c r="L164" i="6" s="1"/>
  <c r="K165" i="6"/>
  <c r="H165" i="6"/>
  <c r="I165" i="6"/>
  <c r="F165" i="6"/>
  <c r="E165" i="6"/>
  <c r="L131" i="6" s="1"/>
  <c r="G165" i="6"/>
  <c r="D165" i="6"/>
  <c r="Q37" i="6"/>
  <c r="G94" i="6" s="1"/>
  <c r="Q94" i="6" s="1"/>
  <c r="G97" i="6"/>
  <c r="Q97" i="6" s="1"/>
  <c r="Q98" i="6"/>
  <c r="Q51" i="6"/>
  <c r="G96" i="6" s="1"/>
  <c r="Q96" i="6" s="1"/>
  <c r="Q31" i="6"/>
  <c r="N93" i="6" s="1"/>
  <c r="K60" i="6"/>
  <c r="Q21" i="6"/>
  <c r="O60" i="6"/>
  <c r="F36" i="2"/>
  <c r="F38" i="2" s="1"/>
  <c r="H35" i="2" s="1"/>
  <c r="M60" i="6" l="1"/>
  <c r="N4" i="7"/>
  <c r="F166" i="6"/>
  <c r="Q235" i="6"/>
  <c r="M204" i="6"/>
  <c r="L204" i="6"/>
  <c r="O235" i="6"/>
  <c r="K204" i="6"/>
  <c r="N235" i="6"/>
  <c r="J204" i="6"/>
  <c r="O266" i="6"/>
  <c r="L266" i="6"/>
  <c r="I266" i="6"/>
  <c r="N204" i="6"/>
  <c r="N266" i="6"/>
  <c r="M266" i="6"/>
  <c r="H235" i="6"/>
  <c r="K266" i="6"/>
  <c r="J266" i="6"/>
  <c r="O204" i="6"/>
  <c r="Q266" i="6"/>
  <c r="M235" i="6"/>
  <c r="I204" i="6"/>
  <c r="P266" i="6"/>
  <c r="L235" i="6"/>
  <c r="H204" i="6"/>
  <c r="K235" i="6"/>
  <c r="I235" i="6"/>
  <c r="Q204" i="6"/>
  <c r="P204" i="6"/>
  <c r="H266" i="6"/>
  <c r="H216" i="6"/>
  <c r="H217" i="6"/>
  <c r="I208" i="6"/>
  <c r="I215" i="6"/>
  <c r="I210" i="6"/>
  <c r="I209" i="6"/>
  <c r="I211" i="6"/>
  <c r="I212" i="6"/>
  <c r="I213" i="6"/>
  <c r="I214" i="6"/>
  <c r="G195" i="6"/>
  <c r="I191" i="6"/>
  <c r="I195" i="6"/>
  <c r="I194" i="6"/>
  <c r="J189" i="6"/>
  <c r="F43" i="2"/>
  <c r="N70" i="6" s="1"/>
  <c r="Q70" i="6" s="1"/>
  <c r="V15" i="6" s="1"/>
  <c r="Q133" i="6"/>
  <c r="J93" i="6"/>
  <c r="L93" i="6"/>
  <c r="S180" i="6"/>
  <c r="T180" i="6" s="1"/>
  <c r="S179" i="6"/>
  <c r="T179" i="6" s="1"/>
  <c r="S177" i="6"/>
  <c r="T177" i="6" s="1"/>
  <c r="S175" i="6"/>
  <c r="S173" i="6"/>
  <c r="T173" i="6" s="1"/>
  <c r="S172" i="6"/>
  <c r="T172" i="6" s="1"/>
  <c r="S171" i="6"/>
  <c r="T171" i="6" s="1"/>
  <c r="S170" i="6"/>
  <c r="T170" i="6" s="1"/>
  <c r="S169" i="6"/>
  <c r="T169" i="6" s="1"/>
  <c r="S168" i="6"/>
  <c r="T168" i="6" s="1"/>
  <c r="S167" i="6"/>
  <c r="T167" i="6" s="1"/>
  <c r="S166" i="6"/>
  <c r="S164" i="6"/>
  <c r="T164" i="6" s="1"/>
  <c r="S163" i="6"/>
  <c r="T163" i="6" s="1"/>
  <c r="S162" i="6"/>
  <c r="S161" i="6"/>
  <c r="T161" i="6" s="1"/>
  <c r="S157" i="6"/>
  <c r="T157" i="6" s="1"/>
  <c r="S158" i="6"/>
  <c r="T158" i="6" s="1"/>
  <c r="S159" i="6"/>
  <c r="T159" i="6" s="1"/>
  <c r="S155" i="6"/>
  <c r="E168" i="6"/>
  <c r="E170" i="6"/>
  <c r="E169" i="6"/>
  <c r="E172" i="6"/>
  <c r="E171" i="6"/>
  <c r="M164" i="6"/>
  <c r="M165" i="6"/>
  <c r="I93" i="6"/>
  <c r="N100" i="6"/>
  <c r="J165" i="6"/>
  <c r="L165" i="6" s="1"/>
  <c r="K93" i="6"/>
  <c r="Q60" i="6"/>
  <c r="G124" i="6" s="1"/>
  <c r="L92" i="6"/>
  <c r="K92" i="6"/>
  <c r="J92" i="6"/>
  <c r="I92" i="6"/>
  <c r="F12" i="3"/>
  <c r="F14" i="3" s="1"/>
  <c r="F25" i="3"/>
  <c r="F41" i="3"/>
  <c r="F55" i="3"/>
  <c r="I25" i="2"/>
  <c r="J25" i="2" s="1"/>
  <c r="O114" i="6" s="1"/>
  <c r="P114" i="6" s="1"/>
  <c r="Q114" i="6" s="1"/>
  <c r="I26" i="2"/>
  <c r="J26" i="2" s="1"/>
  <c r="O115" i="6" s="1"/>
  <c r="P115" i="6" s="1"/>
  <c r="Q115" i="6" s="1"/>
  <c r="I28" i="2"/>
  <c r="J28" i="2" s="1"/>
  <c r="O116" i="6" s="1"/>
  <c r="I29" i="2"/>
  <c r="J29" i="2" s="1"/>
  <c r="O117" i="6" s="1"/>
  <c r="P117" i="6" s="1"/>
  <c r="Q117" i="6" s="1"/>
  <c r="I30" i="2"/>
  <c r="J30" i="2" s="1"/>
  <c r="O118" i="6" s="1"/>
  <c r="I31" i="2"/>
  <c r="J31" i="2" s="1"/>
  <c r="O119" i="6" s="1"/>
  <c r="P119" i="6" s="1"/>
  <c r="Q119" i="6" s="1"/>
  <c r="I24" i="2"/>
  <c r="J24" i="2" s="1"/>
  <c r="O113" i="6" s="1"/>
  <c r="P113" i="6" s="1"/>
  <c r="Q113" i="6" s="1"/>
  <c r="I23" i="2"/>
  <c r="J23" i="2" s="1"/>
  <c r="O112" i="6" s="1"/>
  <c r="I18" i="2"/>
  <c r="I17" i="2"/>
  <c r="I16" i="2"/>
  <c r="I15" i="2"/>
  <c r="I7" i="2"/>
  <c r="I8" i="2"/>
  <c r="I9" i="2"/>
  <c r="I10" i="2"/>
  <c r="I6" i="2"/>
  <c r="I22" i="1"/>
  <c r="I23" i="1"/>
  <c r="J23" i="1" s="1"/>
  <c r="I24" i="1"/>
  <c r="J24" i="1" s="1"/>
  <c r="I25" i="1"/>
  <c r="I26" i="1"/>
  <c r="I27" i="1"/>
  <c r="J27" i="1" s="1"/>
  <c r="I28" i="1"/>
  <c r="J28" i="1" s="1"/>
  <c r="I29" i="1"/>
  <c r="J29" i="1" s="1"/>
  <c r="K29" i="1" s="1"/>
  <c r="I30" i="1"/>
  <c r="J30" i="1" s="1"/>
  <c r="K30" i="1" s="1"/>
  <c r="I31" i="1"/>
  <c r="J31" i="1" s="1"/>
  <c r="K31" i="1" s="1"/>
  <c r="J80" i="1"/>
  <c r="H200" i="6" l="1"/>
  <c r="N8" i="7"/>
  <c r="N7" i="7"/>
  <c r="P235" i="6"/>
  <c r="G204" i="6"/>
  <c r="S156" i="6"/>
  <c r="T156" i="6" s="1"/>
  <c r="S176" i="6"/>
  <c r="T176" i="6" s="1"/>
  <c r="J235" i="6"/>
  <c r="I217" i="6"/>
  <c r="I216" i="6"/>
  <c r="J212" i="6"/>
  <c r="J208" i="6"/>
  <c r="J210" i="6"/>
  <c r="J213" i="6"/>
  <c r="J209" i="6"/>
  <c r="J215" i="6"/>
  <c r="J211" i="6"/>
  <c r="J214" i="6"/>
  <c r="G196" i="6"/>
  <c r="I200" i="6"/>
  <c r="I196" i="6"/>
  <c r="J191" i="6"/>
  <c r="J195" i="6"/>
  <c r="J200" i="6"/>
  <c r="K189" i="6"/>
  <c r="J194" i="6"/>
  <c r="H201" i="6"/>
  <c r="I201" i="6"/>
  <c r="J201" i="6"/>
  <c r="J100" i="6"/>
  <c r="J105" i="6" s="1"/>
  <c r="G93" i="6"/>
  <c r="Q93" i="6" s="1"/>
  <c r="Q100" i="6" s="1"/>
  <c r="L100" i="6"/>
  <c r="L105" i="6" s="1"/>
  <c r="G120" i="6"/>
  <c r="G122" i="6" s="1"/>
  <c r="S178" i="6"/>
  <c r="G201" i="6"/>
  <c r="G200" i="6"/>
  <c r="P116" i="6"/>
  <c r="Q116" i="6" s="1"/>
  <c r="P112" i="6"/>
  <c r="Q112" i="6" s="1"/>
  <c r="T155" i="6"/>
  <c r="T160" i="6" s="1"/>
  <c r="S160" i="6"/>
  <c r="S165" i="6"/>
  <c r="T162" i="6"/>
  <c r="T165" i="6" s="1"/>
  <c r="S174" i="6"/>
  <c r="T166" i="6"/>
  <c r="T174" i="6" s="1"/>
  <c r="T175" i="6"/>
  <c r="J25" i="1"/>
  <c r="K25" i="1" s="1"/>
  <c r="I156" i="6"/>
  <c r="J156" i="6" s="1"/>
  <c r="L156" i="6" s="1"/>
  <c r="J22" i="1"/>
  <c r="K22" i="1" s="1"/>
  <c r="K27" i="1"/>
  <c r="I161" i="6"/>
  <c r="J161" i="6" s="1"/>
  <c r="K28" i="1"/>
  <c r="I159" i="6"/>
  <c r="J159" i="6" s="1"/>
  <c r="J26" i="1"/>
  <c r="K24" i="1"/>
  <c r="I158" i="6"/>
  <c r="J158" i="6" s="1"/>
  <c r="J33" i="1"/>
  <c r="J39" i="1" s="1"/>
  <c r="J46" i="1" s="1"/>
  <c r="K23" i="1"/>
  <c r="F57" i="3"/>
  <c r="K100" i="6"/>
  <c r="K105" i="6" s="1"/>
  <c r="I100" i="6"/>
  <c r="I105" i="6" s="1"/>
  <c r="J74" i="1"/>
  <c r="J63" i="1"/>
  <c r="H206" i="6" l="1"/>
  <c r="O10" i="6" s="1"/>
  <c r="N9" i="7"/>
  <c r="G100" i="6"/>
  <c r="G105" i="6" s="1"/>
  <c r="G72" i="6" s="1"/>
  <c r="G88" i="6" s="1"/>
  <c r="G107" i="6" s="1"/>
  <c r="I68" i="6" s="1"/>
  <c r="I72" i="6" s="1"/>
  <c r="I88" i="6" s="1"/>
  <c r="I107" i="6" s="1"/>
  <c r="J68" i="6" s="1"/>
  <c r="J72" i="6" s="1"/>
  <c r="G206" i="6"/>
  <c r="J206" i="6"/>
  <c r="I206" i="6"/>
  <c r="T178" i="6"/>
  <c r="J216" i="6"/>
  <c r="K212" i="6"/>
  <c r="K214" i="6"/>
  <c r="K213" i="6"/>
  <c r="K209" i="6"/>
  <c r="K211" i="6"/>
  <c r="K210" i="6"/>
  <c r="K208" i="6"/>
  <c r="K215" i="6"/>
  <c r="J217" i="6"/>
  <c r="L189" i="6"/>
  <c r="K201" i="6"/>
  <c r="K195" i="6"/>
  <c r="K191" i="6"/>
  <c r="K200" i="6"/>
  <c r="K194" i="6"/>
  <c r="J196" i="6"/>
  <c r="M156" i="6"/>
  <c r="S182" i="6"/>
  <c r="T182" i="6"/>
  <c r="K26" i="1"/>
  <c r="I162" i="6"/>
  <c r="J162" i="6" s="1"/>
  <c r="L161" i="6"/>
  <c r="M161" i="6"/>
  <c r="L159" i="6"/>
  <c r="M159" i="6"/>
  <c r="I160" i="6"/>
  <c r="J160" i="6" s="1"/>
  <c r="L160" i="6" s="1"/>
  <c r="K33" i="1"/>
  <c r="G51" i="1" s="1"/>
  <c r="M158" i="6"/>
  <c r="L158" i="6"/>
  <c r="J85" i="1"/>
  <c r="K36" i="1"/>
  <c r="K37" i="1"/>
  <c r="K52" i="1"/>
  <c r="L16" i="1"/>
  <c r="K16" i="1"/>
  <c r="J16" i="1"/>
  <c r="K206" i="6" l="1"/>
  <c r="K217" i="6"/>
  <c r="L209" i="6"/>
  <c r="L208" i="6"/>
  <c r="L211" i="6"/>
  <c r="L214" i="6"/>
  <c r="L210" i="6"/>
  <c r="L213" i="6"/>
  <c r="L212" i="6"/>
  <c r="L215" i="6"/>
  <c r="K196" i="6"/>
  <c r="K216" i="6"/>
  <c r="L200" i="6"/>
  <c r="M189" i="6"/>
  <c r="L194" i="6"/>
  <c r="L191" i="6"/>
  <c r="L195" i="6"/>
  <c r="L201" i="6"/>
  <c r="J88" i="6"/>
  <c r="J107" i="6" s="1"/>
  <c r="K68" i="6" s="1"/>
  <c r="K72" i="6" s="1"/>
  <c r="L162" i="6"/>
  <c r="M162" i="6"/>
  <c r="M160" i="6"/>
  <c r="K51" i="1"/>
  <c r="K55" i="1"/>
  <c r="K54" i="1"/>
  <c r="K53" i="1"/>
  <c r="K82" i="1"/>
  <c r="K79" i="1"/>
  <c r="K78" i="1"/>
  <c r="K77" i="1"/>
  <c r="K83" i="1"/>
  <c r="K60" i="1"/>
  <c r="K59" i="1"/>
  <c r="K62" i="1"/>
  <c r="K73" i="1"/>
  <c r="K71" i="1"/>
  <c r="K70" i="1"/>
  <c r="K69" i="1"/>
  <c r="K68" i="1"/>
  <c r="K67" i="1"/>
  <c r="K72" i="1"/>
  <c r="K61" i="1"/>
  <c r="K66" i="1"/>
  <c r="L206" i="6" l="1"/>
  <c r="M209" i="6"/>
  <c r="M211" i="6"/>
  <c r="M213" i="6"/>
  <c r="M215" i="6"/>
  <c r="M212" i="6"/>
  <c r="M214" i="6"/>
  <c r="M210" i="6"/>
  <c r="M208" i="6"/>
  <c r="L216" i="6"/>
  <c r="M195" i="6"/>
  <c r="L217" i="6"/>
  <c r="M201" i="6"/>
  <c r="M194" i="6"/>
  <c r="N189" i="6"/>
  <c r="M200" i="6"/>
  <c r="M191" i="6"/>
  <c r="L196" i="6"/>
  <c r="K88" i="6"/>
  <c r="K107" i="6" s="1"/>
  <c r="L68" i="6" s="1"/>
  <c r="L72" i="6" s="1"/>
  <c r="Q72" i="6" s="1"/>
  <c r="Q88" i="6" s="1"/>
  <c r="M166" i="6"/>
  <c r="K80" i="1"/>
  <c r="K56" i="1"/>
  <c r="K39" i="1"/>
  <c r="K46" i="1" s="1"/>
  <c r="K74" i="1"/>
  <c r="K63" i="1"/>
  <c r="M206" i="6" l="1"/>
  <c r="M169" i="6"/>
  <c r="M172" i="6" s="1"/>
  <c r="H190" i="6" s="1"/>
  <c r="I190" i="6" s="1"/>
  <c r="N213" i="6"/>
  <c r="N214" i="6"/>
  <c r="N215" i="6"/>
  <c r="N211" i="6"/>
  <c r="N208" i="6"/>
  <c r="N210" i="6"/>
  <c r="N209" i="6"/>
  <c r="N212" i="6"/>
  <c r="N191" i="6"/>
  <c r="M216" i="6"/>
  <c r="N195" i="6"/>
  <c r="N201" i="6"/>
  <c r="O189" i="6"/>
  <c r="M217" i="6"/>
  <c r="N194" i="6"/>
  <c r="M196" i="6"/>
  <c r="N200" i="6"/>
  <c r="K85" i="1"/>
  <c r="N102" i="6"/>
  <c r="L88" i="6"/>
  <c r="N105" i="6" l="1"/>
  <c r="Q102" i="6"/>
  <c r="Q105" i="6" s="1"/>
  <c r="Q107" i="6" s="1"/>
  <c r="N206" i="6"/>
  <c r="G190" i="6"/>
  <c r="G192" i="6" s="1"/>
  <c r="G198" i="6" s="1"/>
  <c r="G203" i="6" s="1"/>
  <c r="N217" i="6"/>
  <c r="N216" i="6"/>
  <c r="O213" i="6"/>
  <c r="O208" i="6"/>
  <c r="O215" i="6"/>
  <c r="O209" i="6"/>
  <c r="O212" i="6"/>
  <c r="O211" i="6"/>
  <c r="O214" i="6"/>
  <c r="O210" i="6"/>
  <c r="N196" i="6"/>
  <c r="O200" i="6"/>
  <c r="O191" i="6"/>
  <c r="P189" i="6"/>
  <c r="O195" i="6"/>
  <c r="O194" i="6"/>
  <c r="O201" i="6"/>
  <c r="L107" i="6"/>
  <c r="N68" i="6" s="1"/>
  <c r="N88" i="6" s="1"/>
  <c r="N107" i="6" l="1"/>
  <c r="P68" i="6" s="1"/>
  <c r="P88" i="6" s="1"/>
  <c r="P107" i="6" s="1"/>
  <c r="O206" i="6"/>
  <c r="H192" i="6"/>
  <c r="H198" i="6" s="1"/>
  <c r="H203" i="6" s="1"/>
  <c r="O217" i="6"/>
  <c r="P210" i="6"/>
  <c r="P209" i="6"/>
  <c r="P211" i="6"/>
  <c r="P213" i="6"/>
  <c r="P208" i="6"/>
  <c r="P215" i="6"/>
  <c r="P214" i="6"/>
  <c r="P212" i="6"/>
  <c r="O216" i="6"/>
  <c r="P191" i="6"/>
  <c r="P194" i="6"/>
  <c r="P201" i="6"/>
  <c r="Q189" i="6"/>
  <c r="H220" i="6" s="1"/>
  <c r="H239" i="6" s="1"/>
  <c r="P200" i="6"/>
  <c r="P195" i="6"/>
  <c r="O196" i="6"/>
  <c r="P206" i="6" l="1"/>
  <c r="J190" i="6"/>
  <c r="I192" i="6"/>
  <c r="I198" i="6" s="1"/>
  <c r="I203" i="6" s="1"/>
  <c r="H231" i="6"/>
  <c r="H232" i="6"/>
  <c r="Q210" i="6"/>
  <c r="Q212" i="6"/>
  <c r="Q213" i="6"/>
  <c r="Q211" i="6"/>
  <c r="Q214" i="6"/>
  <c r="Q209" i="6"/>
  <c r="Q208" i="6"/>
  <c r="Q215" i="6"/>
  <c r="P216" i="6"/>
  <c r="Q195" i="6"/>
  <c r="H226" i="6" s="1"/>
  <c r="Q201" i="6"/>
  <c r="Q200" i="6"/>
  <c r="P217" i="6"/>
  <c r="P196" i="6"/>
  <c r="Q191" i="6"/>
  <c r="H222" i="6" s="1"/>
  <c r="Q194" i="6"/>
  <c r="H225" i="6" s="1"/>
  <c r="H237" i="6" l="1"/>
  <c r="Q206" i="6"/>
  <c r="J192" i="6"/>
  <c r="J198" i="6" s="1"/>
  <c r="J203" i="6" s="1"/>
  <c r="K190" i="6"/>
  <c r="Q216" i="6"/>
  <c r="Q196" i="6"/>
  <c r="Q217" i="6"/>
  <c r="K192" i="6" l="1"/>
  <c r="K198" i="6" s="1"/>
  <c r="K203" i="6" s="1"/>
  <c r="L190" i="6"/>
  <c r="H245" i="6"/>
  <c r="H244" i="6"/>
  <c r="H243" i="6"/>
  <c r="H242" i="6"/>
  <c r="H241" i="6"/>
  <c r="H246" i="6"/>
  <c r="H240" i="6"/>
  <c r="I220" i="6"/>
  <c r="H247" i="6" l="1"/>
  <c r="L192" i="6"/>
  <c r="L198" i="6" s="1"/>
  <c r="L203" i="6" s="1"/>
  <c r="M190" i="6"/>
  <c r="H227" i="6"/>
  <c r="H248" i="6"/>
  <c r="I240" i="6"/>
  <c r="I243" i="6"/>
  <c r="I245" i="6"/>
  <c r="I241" i="6"/>
  <c r="I244" i="6"/>
  <c r="I246" i="6"/>
  <c r="I242" i="6"/>
  <c r="I239" i="6"/>
  <c r="J220" i="6"/>
  <c r="I232" i="6"/>
  <c r="I226" i="6"/>
  <c r="I225" i="6"/>
  <c r="I222" i="6"/>
  <c r="I231" i="6"/>
  <c r="I247" i="6" l="1"/>
  <c r="I237" i="6"/>
  <c r="M192" i="6"/>
  <c r="M198" i="6" s="1"/>
  <c r="M203" i="6" s="1"/>
  <c r="N190" i="6"/>
  <c r="J225" i="6"/>
  <c r="J239" i="6"/>
  <c r="J240" i="6"/>
  <c r="J242" i="6"/>
  <c r="J243" i="6"/>
  <c r="J246" i="6"/>
  <c r="J245" i="6"/>
  <c r="J241" i="6"/>
  <c r="J244" i="6"/>
  <c r="J222" i="6"/>
  <c r="K220" i="6"/>
  <c r="J232" i="6"/>
  <c r="J231" i="6"/>
  <c r="I248" i="6"/>
  <c r="I227" i="6"/>
  <c r="J226" i="6"/>
  <c r="J247" i="6" l="1"/>
  <c r="J237" i="6"/>
  <c r="O190" i="6"/>
  <c r="N192" i="6"/>
  <c r="N198" i="6" s="1"/>
  <c r="N203" i="6" s="1"/>
  <c r="K222" i="6"/>
  <c r="K239" i="6"/>
  <c r="K244" i="6"/>
  <c r="K243" i="6"/>
  <c r="K242" i="6"/>
  <c r="K245" i="6"/>
  <c r="K241" i="6"/>
  <c r="K246" i="6"/>
  <c r="K240" i="6"/>
  <c r="K225" i="6"/>
  <c r="K232" i="6"/>
  <c r="L220" i="6"/>
  <c r="K231" i="6"/>
  <c r="K226" i="6"/>
  <c r="J248" i="6"/>
  <c r="J227" i="6"/>
  <c r="K247" i="6" l="1"/>
  <c r="K237" i="6"/>
  <c r="P190" i="6"/>
  <c r="O192" i="6"/>
  <c r="O198" i="6" s="1"/>
  <c r="O203" i="6" s="1"/>
  <c r="K248" i="6"/>
  <c r="L226" i="6"/>
  <c r="L225" i="6"/>
  <c r="K227" i="6"/>
  <c r="L239" i="6"/>
  <c r="L244" i="6"/>
  <c r="L246" i="6"/>
  <c r="L243" i="6"/>
  <c r="L245" i="6"/>
  <c r="L241" i="6"/>
  <c r="L242" i="6"/>
  <c r="L240" i="6"/>
  <c r="L231" i="6"/>
  <c r="L232" i="6"/>
  <c r="M220" i="6"/>
  <c r="L222" i="6"/>
  <c r="L247" i="6" l="1"/>
  <c r="L237" i="6"/>
  <c r="P192" i="6"/>
  <c r="P198" i="6" s="1"/>
  <c r="P203" i="6" s="1"/>
  <c r="Q190" i="6"/>
  <c r="L248" i="6"/>
  <c r="L227" i="6"/>
  <c r="M225" i="6"/>
  <c r="M222" i="6"/>
  <c r="M226" i="6"/>
  <c r="M239" i="6"/>
  <c r="M241" i="6"/>
  <c r="M244" i="6"/>
  <c r="M243" i="6"/>
  <c r="M246" i="6"/>
  <c r="M242" i="6"/>
  <c r="M245" i="6"/>
  <c r="M240" i="6"/>
  <c r="M232" i="6"/>
  <c r="M231" i="6"/>
  <c r="N220" i="6"/>
  <c r="M237" i="6" l="1"/>
  <c r="M247" i="6"/>
  <c r="H221" i="6"/>
  <c r="Q192" i="6"/>
  <c r="Q198" i="6" s="1"/>
  <c r="Q203" i="6" s="1"/>
  <c r="M227" i="6"/>
  <c r="M248" i="6"/>
  <c r="N222" i="6"/>
  <c r="N239" i="6"/>
  <c r="N241" i="6"/>
  <c r="N243" i="6"/>
  <c r="N244" i="6"/>
  <c r="N242" i="6"/>
  <c r="N245" i="6"/>
  <c r="N246" i="6"/>
  <c r="N240" i="6"/>
  <c r="N225" i="6"/>
  <c r="N232" i="6"/>
  <c r="N226" i="6"/>
  <c r="N231" i="6"/>
  <c r="O220" i="6"/>
  <c r="O232" i="6" s="1"/>
  <c r="N237" i="6" l="1"/>
  <c r="N247" i="6"/>
  <c r="H223" i="6"/>
  <c r="I221" i="6"/>
  <c r="N248" i="6"/>
  <c r="O226" i="6"/>
  <c r="O225" i="6"/>
  <c r="N227" i="6"/>
  <c r="O239" i="6"/>
  <c r="O245" i="6"/>
  <c r="O246" i="6"/>
  <c r="O242" i="6"/>
  <c r="O243" i="6"/>
  <c r="O241" i="6"/>
  <c r="O244" i="6"/>
  <c r="O240" i="6"/>
  <c r="O231" i="6"/>
  <c r="O237" i="6" s="1"/>
  <c r="P220" i="6"/>
  <c r="Q220" i="6" s="1"/>
  <c r="H251" i="6" s="1"/>
  <c r="O222" i="6"/>
  <c r="O247" i="6" l="1"/>
  <c r="I223" i="6"/>
  <c r="I229" i="6" s="1"/>
  <c r="I234" i="6" s="1"/>
  <c r="J221" i="6"/>
  <c r="H229" i="6"/>
  <c r="H234" i="6" s="1"/>
  <c r="H270" i="6"/>
  <c r="H271" i="6"/>
  <c r="H263" i="6"/>
  <c r="H262" i="6"/>
  <c r="O227" i="6"/>
  <c r="O248" i="6"/>
  <c r="P222" i="6"/>
  <c r="Q222" i="6" s="1"/>
  <c r="H253" i="6" s="1"/>
  <c r="Q242" i="6"/>
  <c r="Q241" i="6"/>
  <c r="Q244" i="6"/>
  <c r="Q243" i="6"/>
  <c r="Q246" i="6"/>
  <c r="Q240" i="6"/>
  <c r="Q245" i="6"/>
  <c r="P225" i="6"/>
  <c r="Q225" i="6" s="1"/>
  <c r="H256" i="6" s="1"/>
  <c r="P239" i="6"/>
  <c r="P245" i="6"/>
  <c r="P240" i="6"/>
  <c r="P241" i="6"/>
  <c r="P243" i="6"/>
  <c r="P246" i="6"/>
  <c r="P242" i="6"/>
  <c r="P244" i="6"/>
  <c r="P226" i="6"/>
  <c r="Q226" i="6" s="1"/>
  <c r="H257" i="6" s="1"/>
  <c r="P231" i="6"/>
  <c r="P232" i="6"/>
  <c r="Q239" i="6"/>
  <c r="Q232" i="6"/>
  <c r="Q231" i="6"/>
  <c r="H268" i="6" l="1"/>
  <c r="Q237" i="6"/>
  <c r="Q247" i="6"/>
  <c r="P247" i="6"/>
  <c r="P237" i="6"/>
  <c r="K221" i="6"/>
  <c r="J223" i="6"/>
  <c r="J229" i="6" s="1"/>
  <c r="J234" i="6" s="1"/>
  <c r="H258" i="6"/>
  <c r="P248" i="6"/>
  <c r="P227" i="6"/>
  <c r="Q227" i="6"/>
  <c r="Q248" i="6"/>
  <c r="L221" i="6" l="1"/>
  <c r="K223" i="6"/>
  <c r="K229" i="6" s="1"/>
  <c r="K234" i="6" s="1"/>
  <c r="H274" i="6"/>
  <c r="H277" i="6"/>
  <c r="H276" i="6"/>
  <c r="H273" i="6"/>
  <c r="H275" i="6"/>
  <c r="H272" i="6"/>
  <c r="I251" i="6"/>
  <c r="H278" i="6" l="1"/>
  <c r="M221" i="6"/>
  <c r="L223" i="6"/>
  <c r="L229" i="6" s="1"/>
  <c r="L234" i="6" s="1"/>
  <c r="H279" i="6"/>
  <c r="I277" i="6"/>
  <c r="I271" i="6"/>
  <c r="I274" i="6"/>
  <c r="I273" i="6"/>
  <c r="I276" i="6"/>
  <c r="I275" i="6"/>
  <c r="I272" i="6"/>
  <c r="I262" i="6"/>
  <c r="I270" i="6"/>
  <c r="I253" i="6"/>
  <c r="I256" i="6"/>
  <c r="J251" i="6"/>
  <c r="I263" i="6"/>
  <c r="I257" i="6"/>
  <c r="I268" i="6" l="1"/>
  <c r="N221" i="6"/>
  <c r="M223" i="6"/>
  <c r="M229" i="6" s="1"/>
  <c r="M234" i="6" s="1"/>
  <c r="J253" i="6"/>
  <c r="J275" i="6"/>
  <c r="J271" i="6"/>
  <c r="J277" i="6"/>
  <c r="J273" i="6"/>
  <c r="J272" i="6"/>
  <c r="J276" i="6"/>
  <c r="J274" i="6"/>
  <c r="I279" i="6"/>
  <c r="J270" i="6"/>
  <c r="J256" i="6"/>
  <c r="I278" i="6"/>
  <c r="J263" i="6"/>
  <c r="J262" i="6"/>
  <c r="K251" i="6"/>
  <c r="J257" i="6"/>
  <c r="I258" i="6"/>
  <c r="J268" i="6" l="1"/>
  <c r="O221" i="6"/>
  <c r="N223" i="6"/>
  <c r="N229" i="6" s="1"/>
  <c r="N234" i="6" s="1"/>
  <c r="J278" i="6"/>
  <c r="K271" i="6"/>
  <c r="K275" i="6"/>
  <c r="K274" i="6"/>
  <c r="K276" i="6"/>
  <c r="K273" i="6"/>
  <c r="K277" i="6"/>
  <c r="K272" i="6"/>
  <c r="J279" i="6"/>
  <c r="K270" i="6"/>
  <c r="L251" i="6"/>
  <c r="K253" i="6"/>
  <c r="K263" i="6"/>
  <c r="K262" i="6"/>
  <c r="K256" i="6"/>
  <c r="J258" i="6"/>
  <c r="K257" i="6"/>
  <c r="K268" i="6" l="1"/>
  <c r="P221" i="6"/>
  <c r="O223" i="6"/>
  <c r="O229" i="6" s="1"/>
  <c r="O234" i="6" s="1"/>
  <c r="K278" i="6"/>
  <c r="K279" i="6"/>
  <c r="L270" i="6"/>
  <c r="L272" i="6"/>
  <c r="L275" i="6"/>
  <c r="L277" i="6"/>
  <c r="L271" i="6"/>
  <c r="L273" i="6"/>
  <c r="L276" i="6"/>
  <c r="L274" i="6"/>
  <c r="L253" i="6"/>
  <c r="M251" i="6"/>
  <c r="L263" i="6"/>
  <c r="L256" i="6"/>
  <c r="L262" i="6"/>
  <c r="K258" i="6"/>
  <c r="L257" i="6"/>
  <c r="L268" i="6" l="1"/>
  <c r="Q221" i="6"/>
  <c r="P223" i="6"/>
  <c r="P229" i="6" s="1"/>
  <c r="P234" i="6" s="1"/>
  <c r="L279" i="6"/>
  <c r="M256" i="6"/>
  <c r="L278" i="6"/>
  <c r="M253" i="6"/>
  <c r="M270" i="6"/>
  <c r="M274" i="6"/>
  <c r="M272" i="6"/>
  <c r="M276" i="6"/>
  <c r="M277" i="6"/>
  <c r="M273" i="6"/>
  <c r="M275" i="6"/>
  <c r="M271" i="6"/>
  <c r="N251" i="6"/>
  <c r="M263" i="6"/>
  <c r="M262" i="6"/>
  <c r="L258" i="6"/>
  <c r="M257" i="6"/>
  <c r="M268" i="6" l="1"/>
  <c r="H252" i="6"/>
  <c r="Q223" i="6"/>
  <c r="Q229" i="6" s="1"/>
  <c r="Q234" i="6" s="1"/>
  <c r="M279" i="6"/>
  <c r="M278" i="6"/>
  <c r="N276" i="6"/>
  <c r="N272" i="6"/>
  <c r="N275" i="6"/>
  <c r="N274" i="6"/>
  <c r="N271" i="6"/>
  <c r="N277" i="6"/>
  <c r="N273" i="6"/>
  <c r="N256" i="6"/>
  <c r="N253" i="6"/>
  <c r="O251" i="6"/>
  <c r="P251" i="6" s="1"/>
  <c r="N263" i="6"/>
  <c r="N262" i="6"/>
  <c r="N270" i="6"/>
  <c r="M258" i="6"/>
  <c r="N257" i="6"/>
  <c r="N268" i="6" l="1"/>
  <c r="H254" i="6"/>
  <c r="H260" i="6" s="1"/>
  <c r="H265" i="6" s="1"/>
  <c r="I252" i="6"/>
  <c r="N279" i="6"/>
  <c r="N278" i="6"/>
  <c r="P273" i="6"/>
  <c r="P276" i="6"/>
  <c r="P275" i="6"/>
  <c r="P271" i="6"/>
  <c r="P277" i="6"/>
  <c r="P272" i="6"/>
  <c r="P274" i="6"/>
  <c r="O253" i="6"/>
  <c r="P253" i="6" s="1"/>
  <c r="O262" i="6"/>
  <c r="O256" i="6"/>
  <c r="P256" i="6" s="1"/>
  <c r="O276" i="6"/>
  <c r="O272" i="6"/>
  <c r="O277" i="6"/>
  <c r="O274" i="6"/>
  <c r="O273" i="6"/>
  <c r="O275" i="6"/>
  <c r="O271" i="6"/>
  <c r="O263" i="6"/>
  <c r="O270" i="6"/>
  <c r="P270" i="6"/>
  <c r="P262" i="6"/>
  <c r="P263" i="6"/>
  <c r="Q251" i="6"/>
  <c r="N258" i="6"/>
  <c r="O257" i="6"/>
  <c r="O268" i="6" l="1"/>
  <c r="P268" i="6"/>
  <c r="J252" i="6"/>
  <c r="I254" i="6"/>
  <c r="I260" i="6" s="1"/>
  <c r="I265" i="6" s="1"/>
  <c r="O278" i="6"/>
  <c r="O279" i="6"/>
  <c r="Q273" i="6"/>
  <c r="Q275" i="6"/>
  <c r="Q274" i="6"/>
  <c r="Q272" i="6"/>
  <c r="Q271" i="6"/>
  <c r="Q276" i="6"/>
  <c r="Q277" i="6"/>
  <c r="Q253" i="6"/>
  <c r="Q270" i="6"/>
  <c r="P279" i="6"/>
  <c r="P278" i="6"/>
  <c r="Q256" i="6"/>
  <c r="Q262" i="6"/>
  <c r="Q263" i="6"/>
  <c r="P257" i="6"/>
  <c r="O258" i="6"/>
  <c r="Q268" i="6" l="1"/>
  <c r="J254" i="6"/>
  <c r="J260" i="6" s="1"/>
  <c r="J265" i="6" s="1"/>
  <c r="K252" i="6"/>
  <c r="Q279" i="6"/>
  <c r="Q278" i="6"/>
  <c r="Q257" i="6"/>
  <c r="Q258" i="6" s="1"/>
  <c r="P258" i="6"/>
  <c r="L252" i="6" l="1"/>
  <c r="K254" i="6"/>
  <c r="K260" i="6" s="1"/>
  <c r="K265" i="6" s="1"/>
  <c r="L254" i="6" l="1"/>
  <c r="L260" i="6" s="1"/>
  <c r="L265" i="6" s="1"/>
  <c r="M252" i="6"/>
  <c r="M254" i="6" l="1"/>
  <c r="M260" i="6" s="1"/>
  <c r="M265" i="6" s="1"/>
  <c r="N252" i="6"/>
  <c r="N254" i="6" l="1"/>
  <c r="N260" i="6" s="1"/>
  <c r="N265" i="6" s="1"/>
  <c r="O252" i="6"/>
  <c r="P252" i="6" l="1"/>
  <c r="O254" i="6"/>
  <c r="O260" i="6" s="1"/>
  <c r="O265" i="6" s="1"/>
  <c r="Q252" i="6" l="1"/>
  <c r="Q254" i="6" s="1"/>
  <c r="Q260" i="6" s="1"/>
  <c r="Q265" i="6" s="1"/>
  <c r="P254" i="6"/>
  <c r="P260" i="6" s="1"/>
  <c r="P265" i="6" s="1"/>
  <c r="J12" i="6"/>
  <c r="F132" i="6"/>
  <c r="F133" i="6"/>
  <c r="G132" i="6"/>
  <c r="G133" i="6"/>
  <c r="H132" i="6"/>
  <c r="H13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Mitchell Eden</author>
  </authors>
  <commentList>
    <comment ref="B3" authorId="0" shapeId="0" xr:uid="{AB3766B3-0BD3-4693-8B18-C42070F4D5B9}">
      <text>
        <r>
          <rPr>
            <b/>
            <sz val="9"/>
            <color indexed="81"/>
            <rFont val="Tahoma"/>
            <family val="2"/>
          </rPr>
          <t>Example.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Mitchell Eden</author>
  </authors>
  <commentList>
    <comment ref="B28" authorId="0" shapeId="0" xr:uid="{67F61D19-146A-4595-9E25-81435E29615B}">
      <text>
        <r>
          <rPr>
            <sz val="9"/>
            <color indexed="81"/>
            <rFont val="Tahoma"/>
            <family val="2"/>
          </rPr>
          <t xml:space="preserve">GC = General Contractor
CM = Construction Manager
</t>
        </r>
      </text>
    </comment>
    <comment ref="B29" authorId="0" shapeId="0" xr:uid="{D613919C-A2D7-427B-9FA4-AF0D7A238319}">
      <text>
        <r>
          <rPr>
            <sz val="9"/>
            <color indexed="81"/>
            <rFont val="Tahoma"/>
            <family val="2"/>
          </rPr>
          <t>FHTC = Federal Historic Tax Credit</t>
        </r>
      </text>
    </comment>
    <comment ref="B30" authorId="0" shapeId="0" xr:uid="{D6C58BE0-08E7-46B6-B4DF-F7E293957EBB}">
      <text>
        <r>
          <rPr>
            <sz val="9"/>
            <color indexed="81"/>
            <rFont val="Tahoma"/>
            <family val="2"/>
          </rPr>
          <t>SHTC = State Historic Tax Credit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Mitchell Eden</author>
  </authors>
  <commentList>
    <comment ref="H20" authorId="0" shapeId="0" xr:uid="{945F377F-0F43-4A6A-BC30-E482A449828A}">
      <text>
        <r>
          <rPr>
            <b/>
            <sz val="9"/>
            <color indexed="81"/>
            <rFont val="Tahoma"/>
            <family val="2"/>
          </rPr>
          <t>Per Unit</t>
        </r>
      </text>
    </comment>
    <comment ref="I20" authorId="0" shapeId="0" xr:uid="{802280BE-9390-44C4-9AA0-A29757F39C27}">
      <text>
        <r>
          <rPr>
            <b/>
            <sz val="9"/>
            <color indexed="81"/>
            <rFont val="Tahoma"/>
            <family val="2"/>
          </rPr>
          <t>Per Unit</t>
        </r>
      </text>
    </comment>
    <comment ref="J20" authorId="0" shapeId="0" xr:uid="{D7707CEC-C505-4FDD-B6D3-9667B10BA9C9}">
      <text>
        <r>
          <rPr>
            <b/>
            <sz val="9"/>
            <color indexed="81"/>
            <rFont val="Tahoma"/>
            <family val="2"/>
          </rPr>
          <t>Per Unit</t>
        </r>
        <r>
          <rPr>
            <sz val="9"/>
            <color indexed="81"/>
            <rFont val="Tahoma"/>
            <family val="2"/>
          </rPr>
          <t xml:space="preserve">
</t>
        </r>
      </text>
    </comment>
    <comment ref="L20" authorId="0" shapeId="0" xr:uid="{D97BCC1C-C62D-453A-9EE1-3032883C5825}">
      <text>
        <r>
          <rPr>
            <b/>
            <sz val="9"/>
            <color indexed="81"/>
            <rFont val="Tahoma"/>
            <family val="2"/>
          </rPr>
          <t>Per Unit</t>
        </r>
        <r>
          <rPr>
            <sz val="9"/>
            <color indexed="81"/>
            <rFont val="Tahoma"/>
            <family val="2"/>
          </rPr>
          <t xml:space="preserve">
</t>
        </r>
      </text>
    </comment>
    <comment ref="E52" authorId="0" shapeId="0" xr:uid="{8A3E1705-96FF-4562-A19D-A06159393FE1}">
      <text>
        <r>
          <rPr>
            <sz val="9"/>
            <color indexed="81"/>
            <rFont val="Tahoma"/>
            <family val="2"/>
          </rPr>
          <t>ie. office salaries, office supplies, site manager, bookkeeping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Mitchell Eden</author>
  </authors>
  <commentList>
    <comment ref="H4" authorId="0" shapeId="0" xr:uid="{90ED971C-2F2C-4BE9-AEA9-B30D04C8E882}">
      <text>
        <r>
          <rPr>
            <sz val="9"/>
            <color indexed="81"/>
            <rFont val="Tahoma"/>
            <family val="2"/>
          </rPr>
          <t>Historic Tax Credits</t>
        </r>
      </text>
    </comment>
    <comment ref="C13" authorId="0" shapeId="0" xr:uid="{4D401866-EC3D-47B5-A61D-D9C294ED570C}">
      <text>
        <r>
          <rPr>
            <sz val="9"/>
            <color indexed="81"/>
            <rFont val="Tahoma"/>
            <family val="2"/>
          </rPr>
          <t>MaineHousing requires a 5% owner contingency on all new construction projects and 10% on all other projects</t>
        </r>
      </text>
    </comment>
    <comment ref="E24" authorId="0" shapeId="0" xr:uid="{6E6F88F7-A538-477A-A59E-BD7BE0AB70EF}">
      <text>
        <r>
          <rPr>
            <sz val="9"/>
            <color indexed="81"/>
            <rFont val="Tahoma"/>
            <family val="2"/>
          </rPr>
          <t>Enter detail into cells J17 through O24</t>
        </r>
      </text>
    </comment>
    <comment ref="E31" authorId="0" shapeId="0" xr:uid="{25FAC9A2-CB69-452B-AC1D-58B884FA00DE}">
      <text>
        <r>
          <rPr>
            <sz val="9"/>
            <color indexed="81"/>
            <rFont val="Tahoma"/>
            <family val="2"/>
          </rPr>
          <t>Enter detail into cells J28 through O31</t>
        </r>
      </text>
    </comment>
    <comment ref="E40" authorId="0" shapeId="0" xr:uid="{760DA407-99C8-4A4B-B910-1135FF7334FF}">
      <text>
        <r>
          <rPr>
            <sz val="9"/>
            <color indexed="81"/>
            <rFont val="Tahoma"/>
            <family val="2"/>
          </rPr>
          <t>Enter detail into cells J35 through O40</t>
        </r>
      </text>
    </comment>
    <comment ref="C47" authorId="0" shapeId="0" xr:uid="{7C121983-C17F-4EE1-9B84-4477ADE2551D}">
      <text>
        <r>
          <rPr>
            <sz val="9"/>
            <color indexed="81"/>
            <rFont val="Tahoma"/>
            <family val="2"/>
          </rPr>
          <t>ie. Transfer Tax</t>
        </r>
      </text>
    </comment>
    <comment ref="E47" authorId="0" shapeId="0" xr:uid="{FD4EB632-F31B-4557-9DC1-2B391522CC4F}">
      <text>
        <r>
          <rPr>
            <sz val="9"/>
            <color indexed="81"/>
            <rFont val="Tahoma"/>
            <family val="2"/>
          </rPr>
          <t>Enter detail into cells J44 through O47</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Mitchell Eden</author>
  </authors>
  <commentList>
    <comment ref="B3" authorId="0" shapeId="0" xr:uid="{1806E5C7-BFB4-4985-A297-D1BD51151EC9}">
      <text>
        <r>
          <rPr>
            <sz val="9"/>
            <color indexed="81"/>
            <rFont val="Tahoma"/>
            <family val="2"/>
          </rPr>
          <t xml:space="preserve">Include loans in this section </t>
        </r>
        <r>
          <rPr>
            <b/>
            <u/>
            <sz val="9"/>
            <color indexed="81"/>
            <rFont val="Tahoma"/>
            <family val="2"/>
          </rPr>
          <t>only</t>
        </r>
        <r>
          <rPr>
            <sz val="9"/>
            <color indexed="81"/>
            <rFont val="Tahoma"/>
            <family val="2"/>
          </rPr>
          <t xml:space="preserve"> if anticipate being paid off at closing</t>
        </r>
      </text>
    </comment>
    <comment ref="F5" authorId="0" shapeId="0" xr:uid="{62AD477B-2F7E-4E39-953C-4CE47E8696F0}">
      <text>
        <r>
          <rPr>
            <sz val="9"/>
            <color indexed="81"/>
            <rFont val="Tahoma"/>
            <family val="2"/>
          </rPr>
          <t xml:space="preserve">Months
</t>
        </r>
      </text>
    </comment>
    <comment ref="G5" authorId="0" shapeId="0" xr:uid="{C84CD047-F7F2-4145-9B13-2C1007566EAF}">
      <text>
        <r>
          <rPr>
            <sz val="9"/>
            <color indexed="81"/>
            <rFont val="Tahoma"/>
            <family val="2"/>
          </rPr>
          <t xml:space="preserve">Months
</t>
        </r>
      </text>
    </comment>
    <comment ref="B12" authorId="0" shapeId="0" xr:uid="{0BE856F9-D436-446A-9785-75638F98683E}">
      <text>
        <r>
          <rPr>
            <sz val="9"/>
            <color indexed="81"/>
            <rFont val="Tahoma"/>
            <family val="2"/>
          </rPr>
          <t xml:space="preserve">Include loans in this section </t>
        </r>
        <r>
          <rPr>
            <b/>
            <u/>
            <sz val="9"/>
            <color indexed="81"/>
            <rFont val="Tahoma"/>
            <family val="2"/>
          </rPr>
          <t>only</t>
        </r>
        <r>
          <rPr>
            <sz val="9"/>
            <color indexed="81"/>
            <rFont val="Tahoma"/>
            <family val="2"/>
          </rPr>
          <t xml:space="preserve"> if going to be paid off at construction/rehabilitation completion</t>
        </r>
      </text>
    </comment>
    <comment ref="F14" authorId="0" shapeId="0" xr:uid="{46C0AB88-385B-4A4D-A2D1-262FCF372A98}">
      <text>
        <r>
          <rPr>
            <sz val="9"/>
            <color indexed="81"/>
            <rFont val="Tahoma"/>
            <family val="2"/>
          </rPr>
          <t xml:space="preserve">Months
</t>
        </r>
      </text>
    </comment>
    <comment ref="G14" authorId="0" shapeId="0" xr:uid="{0B509449-885D-46F2-ADA5-81C76D595A94}">
      <text>
        <r>
          <rPr>
            <sz val="9"/>
            <color indexed="81"/>
            <rFont val="Tahoma"/>
            <family val="2"/>
          </rPr>
          <t xml:space="preserve">Months
</t>
        </r>
      </text>
    </comment>
    <comment ref="B20" authorId="0" shapeId="0" xr:uid="{AB66A1C3-0D5A-4B5A-B927-97612EB79D71}">
      <text>
        <r>
          <rPr>
            <sz val="9"/>
            <color indexed="81"/>
            <rFont val="Tahoma"/>
            <family val="2"/>
          </rPr>
          <t xml:space="preserve">Include loans in this section if going to be available while the project is operating
</t>
        </r>
      </text>
    </comment>
    <comment ref="C22" authorId="0" shapeId="0" xr:uid="{C5CA9B13-F4FF-4396-957A-909ACB9E56CF}">
      <text>
        <r>
          <rPr>
            <sz val="9"/>
            <color indexed="81"/>
            <rFont val="Tahoma"/>
            <family val="2"/>
          </rPr>
          <t>To be filled in by MaineHousing</t>
        </r>
      </text>
    </comment>
    <comment ref="F22" authorId="0" shapeId="0" xr:uid="{6A29828B-BA68-4FE4-8D71-EDF5E8EA6F00}">
      <text>
        <r>
          <rPr>
            <sz val="9"/>
            <color indexed="81"/>
            <rFont val="Tahoma"/>
            <family val="2"/>
          </rPr>
          <t xml:space="preserve">Years
</t>
        </r>
      </text>
    </comment>
    <comment ref="G22" authorId="0" shapeId="0" xr:uid="{6A5A0F7D-5C15-4C55-8DFB-FEC2EBA9E6F7}">
      <text>
        <r>
          <rPr>
            <sz val="9"/>
            <color indexed="81"/>
            <rFont val="Tahoma"/>
            <family val="2"/>
          </rPr>
          <t xml:space="preserve">Years
</t>
        </r>
      </text>
    </comment>
    <comment ref="B28" authorId="0" shapeId="0" xr:uid="{D0233CCB-3EB0-4F7F-B806-3E9E69E76CCC}">
      <text>
        <r>
          <rPr>
            <sz val="9"/>
            <color indexed="81"/>
            <rFont val="Tahoma"/>
            <family val="2"/>
          </rPr>
          <t xml:space="preserve">Include loans from lenders other than MaineHousing in this section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<sst xmlns="http://schemas.openxmlformats.org/spreadsheetml/2006/main" count="485" uniqueCount="369">
  <si>
    <t># of Units</t>
  </si>
  <si>
    <t># of BR</t>
  </si>
  <si>
    <t>Gross Rent</t>
  </si>
  <si>
    <t>Utility Allowance</t>
  </si>
  <si>
    <t>Utility Allowance Detail</t>
  </si>
  <si>
    <t>Utility/Service</t>
  </si>
  <si>
    <t>Payee</t>
  </si>
  <si>
    <t>Type</t>
  </si>
  <si>
    <t>BR Size</t>
  </si>
  <si>
    <t>Heating</t>
  </si>
  <si>
    <t>Hot Water</t>
  </si>
  <si>
    <t>Cooking</t>
  </si>
  <si>
    <t>Lighting</t>
  </si>
  <si>
    <t>Water</t>
  </si>
  <si>
    <t>Sewer</t>
  </si>
  <si>
    <t>Trash</t>
  </si>
  <si>
    <t>Air Conditioning</t>
  </si>
  <si>
    <t>Income</t>
  </si>
  <si>
    <t>Market Rent</t>
  </si>
  <si>
    <t>Total</t>
  </si>
  <si>
    <t>Other Income:</t>
  </si>
  <si>
    <t>If amount is affected by vacancy loss</t>
  </si>
  <si>
    <t>Projected Vacancy Loss:</t>
  </si>
  <si>
    <t>If amount is not affected by vacancy loss</t>
  </si>
  <si>
    <t>Total:</t>
  </si>
  <si>
    <t>Gross Effective Income:</t>
  </si>
  <si>
    <t>Expenses</t>
  </si>
  <si>
    <t>Administrative Expenses</t>
  </si>
  <si>
    <r>
      <t xml:space="preserve">     </t>
    </r>
    <r>
      <rPr>
        <sz val="12"/>
        <color theme="1"/>
        <rFont val="Garamond"/>
        <family val="1"/>
      </rPr>
      <t>Management Fees</t>
    </r>
  </si>
  <si>
    <r>
      <t xml:space="preserve">     </t>
    </r>
    <r>
      <rPr>
        <sz val="12"/>
        <color theme="1"/>
        <rFont val="Garamond"/>
        <family val="1"/>
      </rPr>
      <t xml:space="preserve">Other Management Costs </t>
    </r>
  </si>
  <si>
    <r>
      <t xml:space="preserve">     </t>
    </r>
    <r>
      <rPr>
        <sz val="12"/>
        <color theme="1"/>
        <rFont val="Garamond"/>
        <family val="1"/>
      </rPr>
      <t>Legal</t>
    </r>
  </si>
  <si>
    <r>
      <t xml:space="preserve">     </t>
    </r>
    <r>
      <rPr>
        <sz val="12"/>
        <color theme="1"/>
        <rFont val="Garamond"/>
        <family val="1"/>
      </rPr>
      <t>Accounting</t>
    </r>
  </si>
  <si>
    <r>
      <t xml:space="preserve">     </t>
    </r>
    <r>
      <rPr>
        <sz val="12"/>
        <color theme="1"/>
        <rFont val="Garamond"/>
        <family val="1"/>
      </rPr>
      <t>Other Admin</t>
    </r>
  </si>
  <si>
    <t>Total Admin</t>
  </si>
  <si>
    <t>Annual</t>
  </si>
  <si>
    <t>Per Unit</t>
  </si>
  <si>
    <t>Utility Expenses</t>
  </si>
  <si>
    <r>
      <t xml:space="preserve">     </t>
    </r>
    <r>
      <rPr>
        <sz val="12"/>
        <color theme="1"/>
        <rFont val="Garamond"/>
        <family val="1"/>
      </rPr>
      <t>Oil/Gas</t>
    </r>
  </si>
  <si>
    <r>
      <t xml:space="preserve">     </t>
    </r>
    <r>
      <rPr>
        <sz val="12"/>
        <color theme="1"/>
        <rFont val="Garamond"/>
        <family val="1"/>
      </rPr>
      <t>Electricity</t>
    </r>
  </si>
  <si>
    <r>
      <t xml:space="preserve">     </t>
    </r>
    <r>
      <rPr>
        <sz val="12"/>
        <color theme="1"/>
        <rFont val="Garamond"/>
        <family val="1"/>
      </rPr>
      <t>Water &amp; Sewer</t>
    </r>
  </si>
  <si>
    <t>Total Utilities</t>
  </si>
  <si>
    <t xml:space="preserve">    Other Utilities</t>
  </si>
  <si>
    <t>Operating &amp; Maintenance Expenses</t>
  </si>
  <si>
    <r>
      <t xml:space="preserve">     </t>
    </r>
    <r>
      <rPr>
        <sz val="12"/>
        <color theme="1"/>
        <rFont val="Garamond"/>
        <family val="1"/>
      </rPr>
      <t>Janitorial Payroll &amp; Supplies</t>
    </r>
  </si>
  <si>
    <r>
      <t xml:space="preserve">     </t>
    </r>
    <r>
      <rPr>
        <sz val="12"/>
        <color theme="1"/>
        <rFont val="Garamond"/>
        <family val="1"/>
      </rPr>
      <t>Janitorial Contractual Services</t>
    </r>
  </si>
  <si>
    <r>
      <t xml:space="preserve">    </t>
    </r>
    <r>
      <rPr>
        <sz val="12"/>
        <color theme="1"/>
        <rFont val="Garamond"/>
        <family val="1"/>
      </rPr>
      <t>Garbage &amp; Trash Removal</t>
    </r>
  </si>
  <si>
    <t xml:space="preserve">    Grounds Maintenance Payroll &amp; Supplies</t>
  </si>
  <si>
    <t xml:space="preserve">    Grounds Maintenance Contractual Services</t>
  </si>
  <si>
    <t xml:space="preserve">    Building Maintenance Payroll &amp; Supplies</t>
  </si>
  <si>
    <t xml:space="preserve">    Building Maintenance Contractual Services</t>
  </si>
  <si>
    <t xml:space="preserve">    Other Operating &amp; Maintenance</t>
  </si>
  <si>
    <t>Total Operating &amp; Maintenance</t>
  </si>
  <si>
    <t>General Expenses</t>
  </si>
  <si>
    <r>
      <t xml:space="preserve">     </t>
    </r>
    <r>
      <rPr>
        <sz val="12"/>
        <color theme="1"/>
        <rFont val="Garamond"/>
        <family val="1"/>
      </rPr>
      <t>Property Taxes</t>
    </r>
  </si>
  <si>
    <r>
      <t xml:space="preserve">     </t>
    </r>
    <r>
      <rPr>
        <sz val="12"/>
        <color theme="1"/>
        <rFont val="Garamond"/>
        <family val="1"/>
      </rPr>
      <t>Property &amp; Liability Insurance</t>
    </r>
  </si>
  <si>
    <r>
      <t xml:space="preserve">    </t>
    </r>
    <r>
      <rPr>
        <sz val="12"/>
        <color theme="1"/>
        <rFont val="Garamond"/>
        <family val="1"/>
      </rPr>
      <t>Other General Expenses</t>
    </r>
  </si>
  <si>
    <t>Total General Expenses</t>
  </si>
  <si>
    <t>Replacement Reserve Deposits</t>
  </si>
  <si>
    <t>Total Commercial Expenses</t>
  </si>
  <si>
    <t>Total Budgeted Expenses</t>
  </si>
  <si>
    <t>*Please complete payee and type for all Utilities/Services</t>
  </si>
  <si>
    <t>Pre Development Funds</t>
  </si>
  <si>
    <t>Lender</t>
  </si>
  <si>
    <t>Source</t>
  </si>
  <si>
    <t>Amount</t>
  </si>
  <si>
    <t>Rate</t>
  </si>
  <si>
    <t>Amoritization</t>
  </si>
  <si>
    <t>Term</t>
  </si>
  <si>
    <t>Structure</t>
  </si>
  <si>
    <t>Construction</t>
  </si>
  <si>
    <t>Construction/Rehabilitation Period Funds</t>
  </si>
  <si>
    <t>Permanent Funds</t>
  </si>
  <si>
    <t>Acquisition</t>
  </si>
  <si>
    <t>Land</t>
  </si>
  <si>
    <t>Building</t>
  </si>
  <si>
    <t>Legal</t>
  </si>
  <si>
    <t>Other</t>
  </si>
  <si>
    <t>Development Cost Detail</t>
  </si>
  <si>
    <t>Residential</t>
  </si>
  <si>
    <t>Commercial</t>
  </si>
  <si>
    <t>Total Acquisition</t>
  </si>
  <si>
    <t>Construction Contract</t>
  </si>
  <si>
    <t>General Requirements</t>
  </si>
  <si>
    <t>Overhead &amp; Profit</t>
  </si>
  <si>
    <t>Owner's Contingency</t>
  </si>
  <si>
    <t>Contract Total</t>
  </si>
  <si>
    <t>Total Construction</t>
  </si>
  <si>
    <t>Solar Contract</t>
  </si>
  <si>
    <t>Soft Costs</t>
  </si>
  <si>
    <t>Survey &amp; Engineering</t>
  </si>
  <si>
    <t>Architect/Design</t>
  </si>
  <si>
    <t>Title Insurance &amp; Recording</t>
  </si>
  <si>
    <t>Construction Period Property Tax</t>
  </si>
  <si>
    <t>Construction Period Insurance</t>
  </si>
  <si>
    <t>Other Soft Costs</t>
  </si>
  <si>
    <t>Total Soft Costs</t>
  </si>
  <si>
    <t>Financing Fees</t>
  </si>
  <si>
    <t>Loan Origination Fees</t>
  </si>
  <si>
    <t>Pre-development Loan Interest</t>
  </si>
  <si>
    <t>Construction Period Loan Interest</t>
  </si>
  <si>
    <t>Other Financing Fees</t>
  </si>
  <si>
    <t>Total Financing Fees</t>
  </si>
  <si>
    <t>Miscellaneous Costs &amp; Expenses</t>
  </si>
  <si>
    <t>Environmental Study/Reports</t>
  </si>
  <si>
    <t>Appraisal</t>
  </si>
  <si>
    <t>Relocation Costs</t>
  </si>
  <si>
    <t>Other Miscellaneous</t>
  </si>
  <si>
    <t>Total Miscellaneous Costs</t>
  </si>
  <si>
    <t>Developer Reserves, Overhead &amp; Profit</t>
  </si>
  <si>
    <t>Tax &amp; Insurance Escrow</t>
  </si>
  <si>
    <t xml:space="preserve">Replacement Reserve </t>
  </si>
  <si>
    <t>Developer's Consultant</t>
  </si>
  <si>
    <t>Total Development Costs</t>
  </si>
  <si>
    <t>Project Name:</t>
  </si>
  <si>
    <t>MaineHousing</t>
  </si>
  <si>
    <t>Property Address:</t>
  </si>
  <si>
    <t>Property City/Town:</t>
  </si>
  <si>
    <t>Property County:</t>
  </si>
  <si>
    <t>Type of Construction:</t>
  </si>
  <si>
    <t>Gross Residential Square Footage:</t>
  </si>
  <si>
    <t>Gross Square Footage:</t>
  </si>
  <si>
    <t>HTC Eligible</t>
  </si>
  <si>
    <t>Historic Tax Credits</t>
  </si>
  <si>
    <t>Historic Eligible Basis</t>
  </si>
  <si>
    <t>Fed HTC</t>
  </si>
  <si>
    <t>State HTC</t>
  </si>
  <si>
    <t>Tax Credit Percentage</t>
  </si>
  <si>
    <t>Total Credits</t>
  </si>
  <si>
    <t>Equity Price</t>
  </si>
  <si>
    <t>Total HTC Equity</t>
  </si>
  <si>
    <t>Syndication Percentage</t>
  </si>
  <si>
    <t>Project Location:</t>
  </si>
  <si>
    <t>AMI</t>
  </si>
  <si>
    <t># @ 30% AMI</t>
  </si>
  <si>
    <t># @ 50% AMI</t>
  </si>
  <si>
    <t># @ 60% AMI</t>
  </si>
  <si>
    <t># @ 80% AMI</t>
  </si>
  <si>
    <t>Appraised Market Value</t>
  </si>
  <si>
    <t>PRO FORMA DEVELOPMENT BUDGET</t>
  </si>
  <si>
    <t xml:space="preserve">Contractor OH &amp; P </t>
  </si>
  <si>
    <t>Subtotal Construction Costs</t>
  </si>
  <si>
    <t>Environmental Abatement</t>
  </si>
  <si>
    <t>Developer's OH &amp; Profit</t>
  </si>
  <si>
    <t>Solar Contract (if paid by owner)</t>
  </si>
  <si>
    <t>Helpful Links</t>
  </si>
  <si>
    <t>MaineHousing Rent Charts</t>
  </si>
  <si>
    <t>LIHTC Allocating Agency Utility Allowance</t>
  </si>
  <si>
    <t>TIF Income</t>
  </si>
  <si>
    <t>Building Permits &amp; Fees (if paid by owner)</t>
  </si>
  <si>
    <t>Environmental Abatement (if paid by owner)</t>
  </si>
  <si>
    <t>Building Permits &amp; Fees</t>
  </si>
  <si>
    <t>Title &amp; Recording</t>
  </si>
  <si>
    <t>Construction Period Tax</t>
  </si>
  <si>
    <t>Subtotal Soft Costs</t>
  </si>
  <si>
    <t>Subtotal Finance Costs</t>
  </si>
  <si>
    <t>Environmental Study</t>
  </si>
  <si>
    <t>Subtotal Miscellaneous</t>
  </si>
  <si>
    <t>Acquisition: Building</t>
  </si>
  <si>
    <t>Acquisition: Land</t>
  </si>
  <si>
    <t>Acquisition: Legal</t>
  </si>
  <si>
    <t>Acquisition: Other</t>
  </si>
  <si>
    <t>Subtotal Acquisition</t>
  </si>
  <si>
    <t>Operating Deficit Escrow</t>
  </si>
  <si>
    <t>Pre-funded Replacements</t>
  </si>
  <si>
    <t>Consultant Fee</t>
  </si>
  <si>
    <t>Developer OH &amp; Profit</t>
  </si>
  <si>
    <t>Subtotal Fees and Reserves</t>
  </si>
  <si>
    <t>Total Units:</t>
  </si>
  <si>
    <t>Total Project Costs</t>
  </si>
  <si>
    <t>TDC</t>
  </si>
  <si>
    <t>Inflation Adjustments</t>
  </si>
  <si>
    <t>Rent</t>
  </si>
  <si>
    <t>Other Income</t>
  </si>
  <si>
    <t>Operating Expenses</t>
  </si>
  <si>
    <t>Vacancy</t>
  </si>
  <si>
    <t>Market Value/Unit</t>
  </si>
  <si>
    <t>Yr 16 - 30</t>
  </si>
  <si>
    <t>Yr 6 - 15</t>
  </si>
  <si>
    <t>Yr 1 - 5</t>
  </si>
  <si>
    <t>DEVELOPMENT ASSUMPTIONS</t>
  </si>
  <si>
    <t>Debt Coverage Ratio</t>
  </si>
  <si>
    <t>FLOW OF FUNDS</t>
  </si>
  <si>
    <t>Sources</t>
  </si>
  <si>
    <t>Beginning Cash</t>
  </si>
  <si>
    <t>Capital Contributions</t>
  </si>
  <si>
    <t>Available During Construction</t>
  </si>
  <si>
    <t>Construction Loan</t>
  </si>
  <si>
    <t>Total Sources</t>
  </si>
  <si>
    <t>Uses</t>
  </si>
  <si>
    <t>Financing Costs</t>
  </si>
  <si>
    <t>Miscellaneous Costs</t>
  </si>
  <si>
    <t>Reserves</t>
  </si>
  <si>
    <t>Total Uses</t>
  </si>
  <si>
    <t>Repay MaineHousing Loans</t>
  </si>
  <si>
    <t>Repay Other Loans</t>
  </si>
  <si>
    <t>Total Dev Costs</t>
  </si>
  <si>
    <t>Ending Cash</t>
  </si>
  <si>
    <t>Closing</t>
  </si>
  <si>
    <t>Project Information</t>
  </si>
  <si>
    <t>Project Schedule</t>
  </si>
  <si>
    <t xml:space="preserve">Anticipated Loan Closing Date: </t>
  </si>
  <si>
    <t xml:space="preserve">Construction Period (months): </t>
  </si>
  <si>
    <t>During Construction</t>
  </si>
  <si>
    <t>Acquisition Costs</t>
  </si>
  <si>
    <t>Developer Fees</t>
  </si>
  <si>
    <t>Close Out</t>
  </si>
  <si>
    <t>PROJECT FINANCING</t>
  </si>
  <si>
    <t>Amortization</t>
  </si>
  <si>
    <t>Lien</t>
  </si>
  <si>
    <t>Annual D/S</t>
  </si>
  <si>
    <t>Yr. 1 - 5</t>
  </si>
  <si>
    <t>Yr. 16 - 30</t>
  </si>
  <si>
    <t>Yr. 6 - 15</t>
  </si>
  <si>
    <t>Capitalization Gap</t>
  </si>
  <si>
    <t>Mthly Payment</t>
  </si>
  <si>
    <t>Annual Payment</t>
  </si>
  <si>
    <t>PROPOSED RENT SCHEDULE</t>
  </si>
  <si>
    <t># Units</t>
  </si>
  <si>
    <t xml:space="preserve"> Allowance</t>
  </si>
  <si>
    <t>Less Utility</t>
  </si>
  <si>
    <t>Net Rent</t>
  </si>
  <si>
    <t>Rents from</t>
  </si>
  <si>
    <t>Applicant</t>
  </si>
  <si>
    <t>Market</t>
  </si>
  <si>
    <t>Monthly Gross Rent</t>
  </si>
  <si>
    <t>Annual Collected Rents</t>
  </si>
  <si>
    <t>Monthly 
Net Rent</t>
  </si>
  <si>
    <t>Monthly</t>
  </si>
  <si>
    <t>Subtotals</t>
  </si>
  <si>
    <t>0 BR</t>
  </si>
  <si>
    <t>1 BR</t>
  </si>
  <si>
    <t>2 BR</t>
  </si>
  <si>
    <t>3 BR</t>
  </si>
  <si>
    <t>4 BR</t>
  </si>
  <si>
    <t>Effective Gross Income</t>
  </si>
  <si>
    <t>Historic Credit - FED</t>
  </si>
  <si>
    <t>Equity Yield</t>
  </si>
  <si>
    <t>Synd. %</t>
  </si>
  <si>
    <t>Equity Raise</t>
  </si>
  <si>
    <t>Historic Credit - STATE</t>
  </si>
  <si>
    <t>Total Equity</t>
  </si>
  <si>
    <t xml:space="preserve">Monthly </t>
  </si>
  <si>
    <t>OPERATING EXPENSES</t>
  </si>
  <si>
    <t>Management Fees</t>
  </si>
  <si>
    <t>Other Management Costs</t>
  </si>
  <si>
    <t>Accounting</t>
  </si>
  <si>
    <t>Other Admin</t>
  </si>
  <si>
    <t>Oil/Gas</t>
  </si>
  <si>
    <t>Electricity</t>
  </si>
  <si>
    <t>Water &amp; Sewer</t>
  </si>
  <si>
    <t>Other Utilities</t>
  </si>
  <si>
    <t>Janitorial Payroll &amp; Supplies</t>
  </si>
  <si>
    <t>Janitorial Contractual Services</t>
  </si>
  <si>
    <t>Garbage &amp; Trash Removal</t>
  </si>
  <si>
    <t>Grounds Maintenance Payroll &amp; Supplies</t>
  </si>
  <si>
    <t>Ground Maintenance Contractual Services</t>
  </si>
  <si>
    <t>Building Maintenance Payroll &amp; Supplies</t>
  </si>
  <si>
    <t>Building Maintenance Contractual Services</t>
  </si>
  <si>
    <t>Other Operating &amp; Maintenance</t>
  </si>
  <si>
    <t>Property Taxes</t>
  </si>
  <si>
    <t>Property &amp; Liability Insurance</t>
  </si>
  <si>
    <t>Other General Expenses</t>
  </si>
  <si>
    <t>Commercial Expenses</t>
  </si>
  <si>
    <t>PROFORMA OPERATING INCOME AND EXPENSE STATEMENT</t>
  </si>
  <si>
    <t>Less Operating Expenses</t>
  </si>
  <si>
    <t>Net Operating Income</t>
  </si>
  <si>
    <t>Less RLP Repay</t>
  </si>
  <si>
    <t>Less Other Repay</t>
  </si>
  <si>
    <t>Cash Flow</t>
  </si>
  <si>
    <t>Principal Balance (RLP)</t>
  </si>
  <si>
    <t>Principal Balance (Other)</t>
  </si>
  <si>
    <t>Cash Flow Per Unit (Annualized)</t>
  </si>
  <si>
    <t>Sitework</t>
  </si>
  <si>
    <t>P&amp;P Bond</t>
  </si>
  <si>
    <t>Real Estate Taxes</t>
  </si>
  <si>
    <t>Effective Real Estate Tax</t>
  </si>
  <si>
    <t>After Tax NOI</t>
  </si>
  <si>
    <t>P&amp;P Bond (if paid by contractor)</t>
  </si>
  <si>
    <t>Other Admin Expense Detail</t>
  </si>
  <si>
    <t>Other Utility Expense Detail</t>
  </si>
  <si>
    <t>Other Operating &amp; Maintenance Expense Detail</t>
  </si>
  <si>
    <t>Other General Expense Detail</t>
  </si>
  <si>
    <t>County</t>
  </si>
  <si>
    <t>Androscoggin</t>
  </si>
  <si>
    <t>Aroostook</t>
  </si>
  <si>
    <t>Cumberland</t>
  </si>
  <si>
    <t>Franklin</t>
  </si>
  <si>
    <t>Hancock</t>
  </si>
  <si>
    <t>Kennebec</t>
  </si>
  <si>
    <t>Knox</t>
  </si>
  <si>
    <t>Lincoln</t>
  </si>
  <si>
    <t>Oxford</t>
  </si>
  <si>
    <t>Penobscot</t>
  </si>
  <si>
    <t>Piscataquis</t>
  </si>
  <si>
    <t>Sagadahoc</t>
  </si>
  <si>
    <t>Somerset</t>
  </si>
  <si>
    <t>Waldo</t>
  </si>
  <si>
    <t>Washington</t>
  </si>
  <si>
    <t>York</t>
  </si>
  <si>
    <t>Close Out Date:</t>
  </si>
  <si>
    <t>Construction Type</t>
  </si>
  <si>
    <t>Acquisition Rehab</t>
  </si>
  <si>
    <t>New Construction</t>
  </si>
  <si>
    <t>Acquisition Rehab with Adaptive Reuse</t>
  </si>
  <si>
    <t>Acquisition Rehab with New Construction</t>
  </si>
  <si>
    <t>Adaptive Reuse/Conversion</t>
  </si>
  <si>
    <t>Adaptive Reuse/Conversion with New Construction</t>
  </si>
  <si>
    <t>Utility Type</t>
  </si>
  <si>
    <t>Electric</t>
  </si>
  <si>
    <t>Natural Gas</t>
  </si>
  <si>
    <t>Propane</t>
  </si>
  <si>
    <t>Oil</t>
  </si>
  <si>
    <t>Electric Heat Pump</t>
  </si>
  <si>
    <t>Bedroom</t>
  </si>
  <si>
    <t>Amortizing</t>
  </si>
  <si>
    <t>Forgivable</t>
  </si>
  <si>
    <t>Deferred</t>
  </si>
  <si>
    <t>Interest Only</t>
  </si>
  <si>
    <t>Collateral Coverage</t>
  </si>
  <si>
    <t>Appraised Value</t>
  </si>
  <si>
    <t>LTV</t>
  </si>
  <si>
    <t>1st</t>
  </si>
  <si>
    <t>2nd</t>
  </si>
  <si>
    <t>3rd+</t>
  </si>
  <si>
    <t>Full Occupancy Date:</t>
  </si>
  <si>
    <t>Development Team</t>
  </si>
  <si>
    <t>Entity</t>
  </si>
  <si>
    <t>Contact Name</t>
  </si>
  <si>
    <t>Email</t>
  </si>
  <si>
    <t>Phone</t>
  </si>
  <si>
    <t>Role</t>
  </si>
  <si>
    <t>Property Manager</t>
  </si>
  <si>
    <t>Service Provider</t>
  </si>
  <si>
    <t>GC/CM</t>
  </si>
  <si>
    <t>FHTC Investor</t>
  </si>
  <si>
    <t>SHTC Investor</t>
  </si>
  <si>
    <t>Attorney</t>
  </si>
  <si>
    <t>Accountant</t>
  </si>
  <si>
    <t>Architect</t>
  </si>
  <si>
    <t>Applicant Information</t>
  </si>
  <si>
    <t xml:space="preserve">Applicant Name: </t>
  </si>
  <si>
    <t>Applicant Address:</t>
  </si>
  <si>
    <t>Contact Name:</t>
  </si>
  <si>
    <t>Contact Phone:</t>
  </si>
  <si>
    <t>Contact Email:</t>
  </si>
  <si>
    <t>Per L.I Unit</t>
  </si>
  <si>
    <t>MaineHousing Subsidy</t>
  </si>
  <si>
    <t>TDC "Index":</t>
  </si>
  <si>
    <t>Units</t>
  </si>
  <si>
    <t>Bedrooms</t>
  </si>
  <si>
    <t>TDC Per Unit</t>
  </si>
  <si>
    <t>TDC Per Bedroom</t>
  </si>
  <si>
    <t>TDC Index</t>
  </si>
  <si>
    <t>Tab</t>
  </si>
  <si>
    <t>Directions</t>
  </si>
  <si>
    <t>Project &amp; Applicant Information</t>
  </si>
  <si>
    <t>Application Specific</t>
  </si>
  <si>
    <t>General</t>
  </si>
  <si>
    <t>Operating Budget</t>
  </si>
  <si>
    <t>Development Costs</t>
  </si>
  <si>
    <t xml:space="preserve">
Please enter the basic project information requested (cells highlighted green). Once you have filled in the requested information, the cell color will change to white. Please enter "N/A" when a field is not applicable so that it is clear information was not accidentally omitted. 
</t>
  </si>
  <si>
    <t>Sources of Funds</t>
  </si>
  <si>
    <t>Other Soft Costs Detail</t>
  </si>
  <si>
    <t>Other Financing Fees Detail</t>
  </si>
  <si>
    <t>Other Miscellaneous Detail</t>
  </si>
  <si>
    <t xml:space="preserve">1. There are tips, instructions, or clarifications in cells where a red triangle appears in the top right corner. </t>
  </si>
  <si>
    <r>
      <t xml:space="preserve">
Utility Allowance:</t>
    </r>
    <r>
      <rPr>
        <sz val="12"/>
        <color theme="1"/>
        <rFont val="Garamond"/>
        <family val="1"/>
      </rPr>
      <t xml:space="preserve"> A link to the utility allowances on MaineHousing's website can be found in cell N15. 
</t>
    </r>
    <r>
      <rPr>
        <u/>
        <sz val="12"/>
        <color theme="1"/>
        <rFont val="Garamond"/>
        <family val="1"/>
      </rPr>
      <t>Income:</t>
    </r>
    <r>
      <rPr>
        <sz val="12"/>
        <color theme="1"/>
        <rFont val="Garamond"/>
        <family val="1"/>
      </rPr>
      <t xml:space="preserve"> A link to the Rent Charts on MaineHousing's website can be found in cell N14.
</t>
    </r>
    <r>
      <rPr>
        <u/>
        <sz val="12"/>
        <color theme="1"/>
        <rFont val="Garamond"/>
        <family val="1"/>
      </rPr>
      <t>Expenses:</t>
    </r>
    <r>
      <rPr>
        <sz val="12"/>
        <color theme="1"/>
        <rFont val="Garamond"/>
        <family val="1"/>
      </rPr>
      <t xml:space="preserve"> Please delineate any "other" operating costs in columns M - P (beginning in row 51). </t>
    </r>
    <r>
      <rPr>
        <u/>
        <sz val="12"/>
        <color theme="1"/>
        <rFont val="Garamond"/>
        <family val="1"/>
      </rPr>
      <t xml:space="preserve">
</t>
    </r>
  </si>
  <si>
    <t xml:space="preserve">
- Separate costs into residential (Column E) and commercial (or any other non residential, if applicable) (Column F). 
- If the project includes historic tax credits, delineate the eligible costs in column H. 
- Reminder: MaineHousing requires an owner's contingency, which is in addition to any contractor contingency included in the General Contractor's pricing. 
</t>
  </si>
  <si>
    <r>
      <t xml:space="preserve">
Pre Development Funds:</t>
    </r>
    <r>
      <rPr>
        <sz val="12"/>
        <color theme="1"/>
        <rFont val="Garamond"/>
        <family val="1"/>
      </rPr>
      <t xml:space="preserve"> Include loans in this section that will be paid off at closing. This section is strictly for informational purposes. Please note that the Amortization and Term columns are requested in months.
</t>
    </r>
    <r>
      <rPr>
        <u/>
        <sz val="12"/>
        <color theme="1"/>
        <rFont val="Garamond"/>
        <family val="1"/>
      </rPr>
      <t>Construction/Rehabilition Period Funds:</t>
    </r>
    <r>
      <rPr>
        <sz val="12"/>
        <color theme="1"/>
        <rFont val="Garamond"/>
        <family val="1"/>
      </rPr>
      <t xml:space="preserve"> This section is meant to delineate any loans that will be paid off when the construction or rehabilitation is complete. As these are short term loans, please enter the appropriate number of months in the amortization and term columns. 
</t>
    </r>
    <r>
      <rPr>
        <u/>
        <sz val="12"/>
        <color theme="1"/>
        <rFont val="Garamond"/>
        <family val="1"/>
      </rPr>
      <t>Permanent Funds:</t>
    </r>
    <r>
      <rPr>
        <sz val="12"/>
        <color theme="1"/>
        <rFont val="Garamond"/>
        <family val="1"/>
      </rPr>
      <t xml:space="preserve"> This section is meant to delineate any loans that will stay with the project after construction or rehabilitation is complete. Please enter any loan that you are requesting from MaineHousing in rows 23 - 26 and any loans that have been secured from a different lender in rows 28 - 31. As these are long term loans, please enter the appropriate number of years in the amortization and term columns. Please note that rows 28 - 31 is also the appropriate section to disclose any fundraising or capital contribution that are not from a historic investor.
</t>
    </r>
    <r>
      <rPr>
        <u/>
        <sz val="12"/>
        <color theme="1"/>
        <rFont val="Garamond"/>
        <family val="1"/>
      </rPr>
      <t>Historic Tax Credits:</t>
    </r>
    <r>
      <rPr>
        <sz val="12"/>
        <color theme="1"/>
        <rFont val="Garamond"/>
        <family val="1"/>
      </rPr>
      <t xml:space="preserve"> If the project involves historic tax credits, the eligible basis will flow through from the Development Costs tab to this section. Enter the applicable equity price, syndication percentage, and amount of equity available during construction (if any) in the provided space. Please note that MaineHousing may be able to offer a bridge loan in connection with the refundable State HTC. If you would like MaineHousing to consider a request to bridge the State HTC, select "yes" from the dropdown in cell I36. </t>
    </r>
    <r>
      <rPr>
        <u/>
        <sz val="12"/>
        <color theme="1"/>
        <rFont val="Garamond"/>
        <family val="1"/>
      </rPr>
      <t xml:space="preserve">Please do not include any potential loan associated with the historic tax credits in any of the other sections.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</si>
</sst>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8" x14ac:knownFonts="1">
    <font>
      <sz val="11"/>
      <color theme="1"/>
      <name val="Aptos Narrow"/>
      <family val="2"/>
      <scheme val="minor"/>
    </font>
    <font>
      <sz val="11"/>
      <color theme="1"/>
      <name val="Aptos Narrow"/>
      <family val="2"/>
      <scheme val="minor"/>
    </font>
    <font>
      <b/>
      <sz val="12"/>
      <color theme="1"/>
      <name val="Garamond"/>
      <family val="1"/>
    </font>
    <font>
      <sz val="12"/>
      <color theme="1"/>
      <name val="Garamond"/>
      <family val="1"/>
    </font>
    <font>
      <b/>
      <sz val="16"/>
      <color theme="1"/>
      <name val="Garamond"/>
      <family val="1"/>
    </font>
    <font>
      <sz val="9"/>
      <color indexed="81"/>
      <name val="Tahoma"/>
      <family val="2"/>
    </font>
    <font>
      <u/>
      <sz val="11"/>
      <color theme="10"/>
      <name val="Aptos Narrow"/>
      <family val="2"/>
      <scheme val="minor"/>
    </font>
    <font>
      <b/>
      <sz val="12"/>
      <name val="Garamond"/>
      <family val="1"/>
    </font>
    <font>
      <u/>
      <sz val="10"/>
      <color indexed="12"/>
      <name val="Garamond"/>
      <family val="1"/>
    </font>
    <font>
      <sz val="10"/>
      <name val="Garamond"/>
      <family val="1"/>
    </font>
    <font>
      <sz val="9"/>
      <name val="Garamond"/>
      <family val="1"/>
    </font>
    <font>
      <b/>
      <u/>
      <sz val="9"/>
      <color indexed="81"/>
      <name val="Tahoma"/>
      <family val="2"/>
    </font>
    <font>
      <b/>
      <sz val="12"/>
      <color rgb="FFFF0000"/>
      <name val="Garamond"/>
      <family val="1"/>
    </font>
    <font>
      <b/>
      <sz val="9"/>
      <color indexed="81"/>
      <name val="Tahoma"/>
      <family val="2"/>
    </font>
    <font>
      <b/>
      <sz val="18"/>
      <color theme="1"/>
      <name val="Garamond"/>
      <family val="1"/>
    </font>
    <font>
      <sz val="11"/>
      <color theme="1"/>
      <name val="Garamond"/>
      <family val="1"/>
    </font>
    <font>
      <u/>
      <sz val="12"/>
      <color theme="1"/>
      <name val="Garamond"/>
      <family val="1"/>
    </font>
    <font>
      <b/>
      <u/>
      <sz val="18"/>
      <color theme="1"/>
      <name val="Garamond"/>
      <family val="1"/>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49586C"/>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cellStyleXfs>
  <cellXfs count="207">
    <xf numFmtId="0" fontId="0" fillId="0" borderId="0" xfId="0"/>
    <xf numFmtId="0" fontId="2" fillId="2" borderId="0" xfId="0" applyFont="1" applyFill="1"/>
    <xf numFmtId="0" fontId="3" fillId="2" borderId="0" xfId="0" applyFont="1" applyFill="1"/>
    <xf numFmtId="0" fontId="2" fillId="2" borderId="0" xfId="0" applyFont="1" applyFill="1" applyAlignment="1">
      <alignment horizontal="center"/>
    </xf>
    <xf numFmtId="0" fontId="3" fillId="2" borderId="1" xfId="0" applyFont="1" applyFill="1" applyBorder="1"/>
    <xf numFmtId="0" fontId="2" fillId="2" borderId="1" xfId="0" applyFont="1" applyFill="1" applyBorder="1"/>
    <xf numFmtId="0" fontId="3" fillId="2" borderId="0" xfId="0" applyFont="1" applyFill="1" applyAlignment="1">
      <alignment horizontal="center"/>
    </xf>
    <xf numFmtId="0" fontId="4" fillId="2" borderId="0" xfId="0" applyFont="1" applyFill="1" applyAlignment="1">
      <alignment horizontal="center"/>
    </xf>
    <xf numFmtId="0" fontId="2" fillId="2" borderId="1" xfId="0" applyFont="1" applyFill="1" applyBorder="1" applyAlignment="1">
      <alignment horizontal="center" wrapText="1"/>
    </xf>
    <xf numFmtId="43" fontId="3" fillId="3" borderId="1" xfId="0" applyNumberFormat="1" applyFont="1" applyFill="1" applyBorder="1"/>
    <xf numFmtId="9" fontId="3" fillId="3" borderId="1" xfId="0" applyNumberFormat="1" applyFont="1" applyFill="1" applyBorder="1"/>
    <xf numFmtId="0" fontId="3" fillId="2" borderId="1" xfId="0" applyFont="1" applyFill="1" applyBorder="1" applyProtection="1">
      <protection locked="0"/>
    </xf>
    <xf numFmtId="43" fontId="3" fillId="2" borderId="1" xfId="1" applyFont="1" applyFill="1" applyBorder="1" applyProtection="1">
      <protection locked="0"/>
    </xf>
    <xf numFmtId="164" fontId="3" fillId="2" borderId="1" xfId="1" applyNumberFormat="1" applyFont="1" applyFill="1" applyBorder="1" applyProtection="1">
      <protection locked="0"/>
    </xf>
    <xf numFmtId="43" fontId="3" fillId="2" borderId="0" xfId="1" applyFont="1" applyFill="1" applyBorder="1"/>
    <xf numFmtId="0" fontId="2" fillId="2" borderId="1" xfId="0" applyFont="1" applyFill="1" applyBorder="1" applyAlignment="1">
      <alignment horizontal="center"/>
    </xf>
    <xf numFmtId="43" fontId="3" fillId="3" borderId="1" xfId="1" applyFont="1" applyFill="1" applyBorder="1" applyAlignment="1">
      <alignment horizontal="center"/>
    </xf>
    <xf numFmtId="0" fontId="4" fillId="2" borderId="0" xfId="0" applyFont="1" applyFill="1"/>
    <xf numFmtId="0" fontId="3" fillId="2" borderId="1" xfId="0" applyFont="1" applyFill="1" applyBorder="1" applyAlignment="1" applyProtection="1">
      <alignment horizontal="left"/>
      <protection locked="0"/>
    </xf>
    <xf numFmtId="0" fontId="3" fillId="2" borderId="1" xfId="0" applyFont="1" applyFill="1" applyBorder="1" applyAlignment="1" applyProtection="1">
      <alignment horizontal="center"/>
      <protection locked="0"/>
    </xf>
    <xf numFmtId="43" fontId="3" fillId="2" borderId="1" xfId="1" applyFont="1" applyFill="1" applyBorder="1" applyAlignment="1" applyProtection="1">
      <alignment horizontal="center"/>
      <protection locked="0"/>
    </xf>
    <xf numFmtId="10" fontId="3" fillId="2" borderId="1" xfId="2" applyNumberFormat="1" applyFont="1" applyFill="1" applyBorder="1" applyAlignment="1" applyProtection="1">
      <alignment horizontal="center"/>
      <protection locked="0"/>
    </xf>
    <xf numFmtId="164" fontId="3" fillId="2" borderId="1" xfId="1" applyNumberFormat="1" applyFont="1" applyFill="1" applyBorder="1" applyAlignment="1" applyProtection="1">
      <alignment horizontal="center"/>
      <protection locked="0"/>
    </xf>
    <xf numFmtId="0" fontId="3" fillId="2" borderId="0" xfId="0" applyFont="1" applyFill="1" applyAlignment="1" applyProtection="1">
      <alignment horizontal="left"/>
      <protection locked="0"/>
    </xf>
    <xf numFmtId="0" fontId="3" fillId="2" borderId="0" xfId="0" applyFont="1" applyFill="1" applyAlignment="1" applyProtection="1">
      <alignment horizontal="center"/>
      <protection locked="0"/>
    </xf>
    <xf numFmtId="43" fontId="3" fillId="2" borderId="0" xfId="1" applyFont="1" applyFill="1" applyBorder="1" applyAlignment="1" applyProtection="1">
      <alignment horizontal="center"/>
      <protection locked="0"/>
    </xf>
    <xf numFmtId="10" fontId="3" fillId="2" borderId="0" xfId="2" applyNumberFormat="1" applyFont="1" applyFill="1" applyBorder="1" applyAlignment="1" applyProtection="1">
      <alignment horizontal="center"/>
      <protection locked="0"/>
    </xf>
    <xf numFmtId="0" fontId="3" fillId="2" borderId="3" xfId="0" applyFont="1" applyFill="1" applyBorder="1"/>
    <xf numFmtId="43" fontId="3" fillId="2" borderId="0" xfId="1" applyFont="1" applyFill="1" applyBorder="1" applyAlignment="1">
      <alignment horizontal="center"/>
    </xf>
    <xf numFmtId="43" fontId="3" fillId="2" borderId="0" xfId="0" applyNumberFormat="1" applyFont="1" applyFill="1"/>
    <xf numFmtId="43" fontId="3" fillId="3" borderId="1" xfId="0" applyNumberFormat="1" applyFont="1" applyFill="1" applyBorder="1" applyAlignment="1">
      <alignment horizontal="center"/>
    </xf>
    <xf numFmtId="9" fontId="3" fillId="3" borderId="1" xfId="0" applyNumberFormat="1" applyFont="1" applyFill="1" applyBorder="1" applyAlignment="1">
      <alignment horizontal="center"/>
    </xf>
    <xf numFmtId="43" fontId="2" fillId="3" borderId="1" xfId="0" applyNumberFormat="1" applyFont="1" applyFill="1" applyBorder="1" applyAlignment="1">
      <alignment horizontal="center"/>
    </xf>
    <xf numFmtId="9" fontId="3" fillId="2" borderId="1" xfId="0" applyNumberFormat="1" applyFont="1" applyFill="1" applyBorder="1" applyAlignment="1" applyProtection="1">
      <alignment horizontal="center"/>
      <protection locked="0"/>
    </xf>
    <xf numFmtId="0" fontId="3" fillId="2" borderId="0" xfId="0" applyFont="1" applyFill="1" applyProtection="1">
      <protection locked="0"/>
    </xf>
    <xf numFmtId="0" fontId="8" fillId="2" borderId="4" xfId="3" applyFont="1" applyFill="1" applyBorder="1" applyAlignment="1" applyProtection="1"/>
    <xf numFmtId="0" fontId="9" fillId="2" borderId="0" xfId="0" applyFont="1" applyFill="1"/>
    <xf numFmtId="0" fontId="9" fillId="2" borderId="5" xfId="0" applyFont="1" applyFill="1" applyBorder="1"/>
    <xf numFmtId="0" fontId="10" fillId="2" borderId="9" xfId="0" applyFont="1" applyFill="1" applyBorder="1"/>
    <xf numFmtId="0" fontId="10" fillId="2" borderId="3" xfId="0" applyFont="1" applyFill="1" applyBorder="1"/>
    <xf numFmtId="0" fontId="10" fillId="2" borderId="10" xfId="0" applyFont="1" applyFill="1" applyBorder="1"/>
    <xf numFmtId="0" fontId="2" fillId="2" borderId="0" xfId="0" applyFont="1" applyFill="1" applyAlignment="1">
      <alignment horizontal="center" wrapText="1"/>
    </xf>
    <xf numFmtId="43" fontId="3" fillId="2" borderId="0" xfId="1" applyFont="1" applyFill="1" applyBorder="1" applyProtection="1">
      <protection locked="0"/>
    </xf>
    <xf numFmtId="0" fontId="3" fillId="2" borderId="9" xfId="0" applyFont="1" applyFill="1" applyBorder="1"/>
    <xf numFmtId="0" fontId="3" fillId="2" borderId="10" xfId="0" applyFont="1" applyFill="1" applyBorder="1"/>
    <xf numFmtId="0" fontId="3" fillId="2" borderId="4" xfId="0" applyFont="1" applyFill="1" applyBorder="1"/>
    <xf numFmtId="0" fontId="2" fillId="2" borderId="3" xfId="0" applyFont="1" applyFill="1" applyBorder="1"/>
    <xf numFmtId="43" fontId="3" fillId="2" borderId="3" xfId="1" applyFont="1" applyFill="1" applyBorder="1"/>
    <xf numFmtId="164" fontId="3" fillId="2" borderId="5" xfId="1" applyNumberFormat="1" applyFont="1" applyFill="1" applyBorder="1"/>
    <xf numFmtId="10" fontId="3" fillId="2" borderId="0" xfId="2" applyNumberFormat="1" applyFont="1" applyFill="1" applyBorder="1"/>
    <xf numFmtId="0" fontId="3" fillId="2" borderId="5" xfId="0" applyFont="1" applyFill="1" applyBorder="1"/>
    <xf numFmtId="0" fontId="3" fillId="2" borderId="6" xfId="0" applyFont="1" applyFill="1" applyBorder="1"/>
    <xf numFmtId="0" fontId="3" fillId="2" borderId="7" xfId="0" applyFont="1" applyFill="1" applyBorder="1"/>
    <xf numFmtId="0" fontId="3" fillId="2" borderId="8" xfId="0" applyFont="1" applyFill="1" applyBorder="1"/>
    <xf numFmtId="10" fontId="3" fillId="2" borderId="5" xfId="2" applyNumberFormat="1" applyFont="1" applyFill="1" applyBorder="1"/>
    <xf numFmtId="0" fontId="3" fillId="2" borderId="5" xfId="0" applyFont="1" applyFill="1" applyBorder="1" applyAlignment="1">
      <alignment horizontal="center"/>
    </xf>
    <xf numFmtId="0" fontId="3" fillId="2" borderId="11" xfId="0" applyFont="1" applyFill="1" applyBorder="1" applyAlignment="1">
      <alignment horizontal="center"/>
    </xf>
    <xf numFmtId="0" fontId="3" fillId="2" borderId="12" xfId="0" applyFont="1" applyFill="1" applyBorder="1"/>
    <xf numFmtId="0" fontId="3" fillId="2" borderId="11" xfId="0" applyFont="1" applyFill="1" applyBorder="1"/>
    <xf numFmtId="0" fontId="2" fillId="2" borderId="4" xfId="0" applyFont="1" applyFill="1" applyBorder="1"/>
    <xf numFmtId="164" fontId="3" fillId="2" borderId="0" xfId="1" applyNumberFormat="1" applyFont="1" applyFill="1" applyBorder="1"/>
    <xf numFmtId="164" fontId="3" fillId="2" borderId="3" xfId="1" applyNumberFormat="1" applyFont="1" applyFill="1" applyBorder="1"/>
    <xf numFmtId="14" fontId="3" fillId="2" borderId="3" xfId="0" applyNumberFormat="1" applyFont="1" applyFill="1" applyBorder="1"/>
    <xf numFmtId="0" fontId="3" fillId="2" borderId="13" xfId="0" applyFont="1" applyFill="1" applyBorder="1" applyAlignment="1">
      <alignment horizontal="center"/>
    </xf>
    <xf numFmtId="164" fontId="3" fillId="2" borderId="0" xfId="1" applyNumberFormat="1" applyFont="1" applyFill="1"/>
    <xf numFmtId="164" fontId="3" fillId="2" borderId="10" xfId="1" applyNumberFormat="1" applyFont="1" applyFill="1" applyBorder="1"/>
    <xf numFmtId="0" fontId="3" fillId="2" borderId="3" xfId="0" applyFont="1" applyFill="1" applyBorder="1" applyAlignment="1">
      <alignment horizontal="center"/>
    </xf>
    <xf numFmtId="0" fontId="3" fillId="2" borderId="4" xfId="0" applyFont="1" applyFill="1" applyBorder="1" applyAlignment="1">
      <alignment horizontal="center"/>
    </xf>
    <xf numFmtId="164" fontId="3" fillId="2" borderId="0" xfId="0" applyNumberFormat="1" applyFont="1" applyFill="1"/>
    <xf numFmtId="0" fontId="3" fillId="2" borderId="1" xfId="1" applyNumberFormat="1" applyFont="1" applyFill="1" applyBorder="1" applyAlignment="1" applyProtection="1">
      <alignment horizontal="center"/>
      <protection locked="0"/>
    </xf>
    <xf numFmtId="164" fontId="3" fillId="3" borderId="1" xfId="1" applyNumberFormat="1" applyFont="1" applyFill="1" applyBorder="1"/>
    <xf numFmtId="164" fontId="3" fillId="3" borderId="1" xfId="0" applyNumberFormat="1" applyFont="1" applyFill="1" applyBorder="1"/>
    <xf numFmtId="164" fontId="2" fillId="3" borderId="1" xfId="1" applyNumberFormat="1" applyFont="1" applyFill="1" applyBorder="1"/>
    <xf numFmtId="164" fontId="2" fillId="3" borderId="1" xfId="0" applyNumberFormat="1" applyFont="1" applyFill="1" applyBorder="1"/>
    <xf numFmtId="0" fontId="3" fillId="2" borderId="9" xfId="0" applyFont="1" applyFill="1" applyBorder="1" applyAlignment="1">
      <alignment horizontal="center"/>
    </xf>
    <xf numFmtId="0" fontId="3" fillId="2" borderId="2" xfId="0" applyFont="1" applyFill="1" applyBorder="1" applyAlignment="1">
      <alignment horizontal="center"/>
    </xf>
    <xf numFmtId="0" fontId="3" fillId="2" borderId="14" xfId="0" applyFont="1" applyFill="1" applyBorder="1" applyAlignment="1">
      <alignment horizontal="center"/>
    </xf>
    <xf numFmtId="0" fontId="3" fillId="2" borderId="15" xfId="0" applyFont="1" applyFill="1" applyBorder="1" applyAlignment="1">
      <alignment horizontal="center"/>
    </xf>
    <xf numFmtId="0" fontId="2" fillId="2" borderId="6" xfId="0" applyFont="1" applyFill="1" applyBorder="1"/>
    <xf numFmtId="164" fontId="3" fillId="2" borderId="14" xfId="1" applyNumberFormat="1" applyFont="1" applyFill="1" applyBorder="1" applyAlignment="1">
      <alignment horizontal="center"/>
    </xf>
    <xf numFmtId="164" fontId="3" fillId="2" borderId="15" xfId="1" applyNumberFormat="1" applyFont="1" applyFill="1" applyBorder="1" applyAlignment="1">
      <alignment horizontal="center"/>
    </xf>
    <xf numFmtId="0" fontId="3" fillId="2" borderId="12" xfId="0" applyFont="1" applyFill="1" applyBorder="1" applyAlignment="1">
      <alignment horizontal="center"/>
    </xf>
    <xf numFmtId="164" fontId="3" fillId="2" borderId="0" xfId="1" applyNumberFormat="1" applyFont="1" applyFill="1" applyProtection="1">
      <protection locked="0"/>
    </xf>
    <xf numFmtId="0" fontId="3" fillId="2" borderId="10" xfId="0" applyFont="1" applyFill="1" applyBorder="1" applyAlignment="1">
      <alignment horizontal="center"/>
    </xf>
    <xf numFmtId="164" fontId="3" fillId="2" borderId="5" xfId="1" applyNumberFormat="1" applyFont="1" applyFill="1" applyBorder="1" applyAlignment="1">
      <alignment horizontal="center"/>
    </xf>
    <xf numFmtId="164" fontId="3" fillId="2" borderId="10" xfId="1" applyNumberFormat="1" applyFont="1" applyFill="1" applyBorder="1" applyAlignment="1">
      <alignment horizontal="center"/>
    </xf>
    <xf numFmtId="0" fontId="3" fillId="2" borderId="2" xfId="0" applyFont="1" applyFill="1" applyBorder="1"/>
    <xf numFmtId="164" fontId="3" fillId="2" borderId="2" xfId="1" applyNumberFormat="1" applyFont="1" applyFill="1" applyBorder="1" applyAlignment="1">
      <alignment horizontal="center"/>
    </xf>
    <xf numFmtId="0" fontId="3" fillId="2" borderId="8" xfId="1" applyNumberFormat="1" applyFont="1" applyFill="1" applyBorder="1" applyAlignment="1">
      <alignment horizontal="center"/>
    </xf>
    <xf numFmtId="164" fontId="3" fillId="2" borderId="8" xfId="0" applyNumberFormat="1" applyFont="1" applyFill="1" applyBorder="1"/>
    <xf numFmtId="164" fontId="3" fillId="2" borderId="0" xfId="1" applyNumberFormat="1" applyFont="1" applyFill="1" applyBorder="1" applyProtection="1">
      <protection locked="0"/>
    </xf>
    <xf numFmtId="0" fontId="3" fillId="2" borderId="13" xfId="0" applyFont="1" applyFill="1" applyBorder="1"/>
    <xf numFmtId="164" fontId="3" fillId="2" borderId="5" xfId="0" applyNumberFormat="1" applyFont="1" applyFill="1" applyBorder="1"/>
    <xf numFmtId="9" fontId="3" fillId="2" borderId="0" xfId="0" applyNumberFormat="1" applyFont="1" applyFill="1"/>
    <xf numFmtId="164" fontId="2" fillId="2" borderId="10" xfId="0" applyNumberFormat="1" applyFont="1" applyFill="1" applyBorder="1"/>
    <xf numFmtId="164" fontId="3" fillId="2" borderId="13" xfId="1" applyNumberFormat="1" applyFont="1" applyFill="1" applyBorder="1" applyAlignment="1">
      <alignment horizontal="center"/>
    </xf>
    <xf numFmtId="10" fontId="3" fillId="2" borderId="5" xfId="2" applyNumberFormat="1" applyFont="1" applyFill="1" applyBorder="1" applyAlignment="1">
      <alignment horizontal="center"/>
    </xf>
    <xf numFmtId="0" fontId="12" fillId="2" borderId="0" xfId="0" applyFont="1" applyFill="1"/>
    <xf numFmtId="0" fontId="2" fillId="2" borderId="12" xfId="0" applyFont="1" applyFill="1" applyBorder="1"/>
    <xf numFmtId="0" fontId="3" fillId="2" borderId="4" xfId="0" applyFont="1" applyFill="1" applyBorder="1" applyAlignment="1">
      <alignment horizontal="left"/>
    </xf>
    <xf numFmtId="0" fontId="2" fillId="2" borderId="6" xfId="0" applyFont="1" applyFill="1" applyBorder="1" applyAlignment="1">
      <alignment horizontal="left"/>
    </xf>
    <xf numFmtId="0" fontId="2" fillId="2" borderId="7" xfId="0" applyFont="1" applyFill="1" applyBorder="1" applyAlignment="1">
      <alignment horizontal="right"/>
    </xf>
    <xf numFmtId="164" fontId="2" fillId="2" borderId="7" xfId="1" applyNumberFormat="1" applyFont="1" applyFill="1" applyBorder="1"/>
    <xf numFmtId="164" fontId="2" fillId="2" borderId="8" xfId="1" applyNumberFormat="1" applyFont="1" applyFill="1" applyBorder="1"/>
    <xf numFmtId="164" fontId="2" fillId="2" borderId="7" xfId="0" applyNumberFormat="1" applyFont="1" applyFill="1" applyBorder="1"/>
    <xf numFmtId="164" fontId="2" fillId="2" borderId="8" xfId="0" applyNumberFormat="1" applyFont="1" applyFill="1" applyBorder="1"/>
    <xf numFmtId="0" fontId="3" fillId="2" borderId="0" xfId="0" applyFont="1" applyFill="1" applyAlignment="1">
      <alignment horizontal="right"/>
    </xf>
    <xf numFmtId="0" fontId="3" fillId="2" borderId="3" xfId="0" applyFont="1" applyFill="1" applyBorder="1" applyAlignment="1">
      <alignment horizontal="right"/>
    </xf>
    <xf numFmtId="164" fontId="3" fillId="2" borderId="11" xfId="1" applyNumberFormat="1" applyFont="1" applyFill="1" applyBorder="1"/>
    <xf numFmtId="164" fontId="3" fillId="2" borderId="13" xfId="1" applyNumberFormat="1" applyFont="1" applyFill="1" applyBorder="1"/>
    <xf numFmtId="164" fontId="3" fillId="2" borderId="11" xfId="0" applyNumberFormat="1" applyFont="1" applyFill="1" applyBorder="1"/>
    <xf numFmtId="164" fontId="3" fillId="2" borderId="13" xfId="0" applyNumberFormat="1" applyFont="1" applyFill="1" applyBorder="1"/>
    <xf numFmtId="0" fontId="2" fillId="2" borderId="9" xfId="0" applyFont="1" applyFill="1" applyBorder="1"/>
    <xf numFmtId="164" fontId="3" fillId="2" borderId="3" xfId="0" applyNumberFormat="1" applyFont="1" applyFill="1" applyBorder="1"/>
    <xf numFmtId="164" fontId="3" fillId="2" borderId="10" xfId="0" applyNumberFormat="1" applyFont="1" applyFill="1" applyBorder="1"/>
    <xf numFmtId="0" fontId="2" fillId="2" borderId="7" xfId="0" applyFont="1" applyFill="1" applyBorder="1"/>
    <xf numFmtId="10" fontId="3" fillId="2" borderId="0" xfId="0" applyNumberFormat="1" applyFont="1" applyFill="1"/>
    <xf numFmtId="164" fontId="3" fillId="2" borderId="0" xfId="1" applyNumberFormat="1" applyFont="1" applyFill="1" applyBorder="1" applyAlignment="1" applyProtection="1">
      <alignment horizontal="center"/>
      <protection locked="0"/>
    </xf>
    <xf numFmtId="14" fontId="3" fillId="2" borderId="10" xfId="0" applyNumberFormat="1" applyFont="1" applyFill="1" applyBorder="1"/>
    <xf numFmtId="14" fontId="3" fillId="2" borderId="7" xfId="0" applyNumberFormat="1" applyFont="1" applyFill="1" applyBorder="1"/>
    <xf numFmtId="14" fontId="3" fillId="2" borderId="8" xfId="0" applyNumberFormat="1" applyFont="1" applyFill="1" applyBorder="1"/>
    <xf numFmtId="164" fontId="3" fillId="3" borderId="1" xfId="1" applyNumberFormat="1" applyFont="1" applyFill="1" applyBorder="1" applyProtection="1"/>
    <xf numFmtId="0" fontId="3" fillId="0" borderId="16" xfId="0" applyFont="1" applyBorder="1"/>
    <xf numFmtId="0" fontId="3" fillId="0" borderId="17" xfId="0" applyFont="1" applyBorder="1"/>
    <xf numFmtId="0" fontId="3" fillId="2" borderId="0" xfId="0" applyFont="1" applyFill="1" applyAlignment="1">
      <alignment horizontal="left"/>
    </xf>
    <xf numFmtId="9" fontId="0" fillId="0" borderId="0" xfId="0" applyNumberFormat="1"/>
    <xf numFmtId="0" fontId="2" fillId="2" borderId="8" xfId="0" applyFont="1" applyFill="1" applyBorder="1" applyAlignment="1">
      <alignment horizontal="right"/>
    </xf>
    <xf numFmtId="9" fontId="3" fillId="2" borderId="7" xfId="2" applyFont="1" applyFill="1" applyBorder="1" applyAlignment="1">
      <alignment horizontal="center"/>
    </xf>
    <xf numFmtId="9" fontId="3" fillId="2" borderId="8" xfId="2" applyFont="1" applyFill="1" applyBorder="1" applyAlignment="1">
      <alignment horizontal="center"/>
    </xf>
    <xf numFmtId="164" fontId="3" fillId="2" borderId="7" xfId="1" applyNumberFormat="1" applyFont="1" applyFill="1" applyBorder="1"/>
    <xf numFmtId="164" fontId="3" fillId="2" borderId="8" xfId="1" applyNumberFormat="1" applyFont="1" applyFill="1" applyBorder="1"/>
    <xf numFmtId="0" fontId="3" fillId="2" borderId="1" xfId="0" applyFont="1" applyFill="1" applyBorder="1" applyAlignment="1" applyProtection="1">
      <alignment horizontal="center" vertical="center" wrapText="1"/>
      <protection locked="0"/>
    </xf>
    <xf numFmtId="164" fontId="3" fillId="3" borderId="1" xfId="1" applyNumberFormat="1" applyFont="1" applyFill="1" applyBorder="1" applyProtection="1">
      <protection locked="0"/>
    </xf>
    <xf numFmtId="164" fontId="3" fillId="2" borderId="7" xfId="0" applyNumberFormat="1" applyFont="1" applyFill="1" applyBorder="1"/>
    <xf numFmtId="9" fontId="3" fillId="2" borderId="0" xfId="0" applyNumberFormat="1" applyFont="1" applyFill="1" applyAlignment="1">
      <alignment horizontal="center"/>
    </xf>
    <xf numFmtId="9" fontId="3" fillId="2" borderId="3" xfId="0" applyNumberFormat="1" applyFont="1" applyFill="1" applyBorder="1" applyAlignment="1">
      <alignment horizontal="center"/>
    </xf>
    <xf numFmtId="43" fontId="3" fillId="2" borderId="5" xfId="1" applyFont="1" applyFill="1" applyBorder="1"/>
    <xf numFmtId="43" fontId="3" fillId="2" borderId="9" xfId="1" applyFont="1" applyFill="1" applyBorder="1"/>
    <xf numFmtId="164" fontId="2" fillId="2" borderId="18" xfId="1" applyNumberFormat="1" applyFont="1" applyFill="1" applyBorder="1"/>
    <xf numFmtId="10" fontId="3" fillId="2" borderId="1" xfId="2" applyNumberFormat="1" applyFont="1" applyFill="1" applyBorder="1" applyProtection="1">
      <protection locked="0"/>
    </xf>
    <xf numFmtId="43" fontId="3" fillId="2" borderId="5" xfId="1" applyFont="1" applyFill="1" applyBorder="1" applyAlignment="1">
      <alignment horizontal="center"/>
    </xf>
    <xf numFmtId="164" fontId="2" fillId="2" borderId="11" xfId="0" applyNumberFormat="1" applyFont="1" applyFill="1" applyBorder="1"/>
    <xf numFmtId="164" fontId="2" fillId="2" borderId="13" xfId="0" applyNumberFormat="1" applyFont="1" applyFill="1" applyBorder="1"/>
    <xf numFmtId="43" fontId="3" fillId="2" borderId="11" xfId="0" applyNumberFormat="1" applyFont="1" applyFill="1" applyBorder="1"/>
    <xf numFmtId="0" fontId="3" fillId="2" borderId="1" xfId="0" applyFont="1" applyFill="1" applyBorder="1" applyAlignment="1">
      <alignment horizontal="left"/>
    </xf>
    <xf numFmtId="0" fontId="0" fillId="2" borderId="0" xfId="0" applyFill="1"/>
    <xf numFmtId="0" fontId="15" fillId="2" borderId="0" xfId="0" applyFont="1" applyFill="1"/>
    <xf numFmtId="0" fontId="14" fillId="2" borderId="19" xfId="0" applyFont="1" applyFill="1" applyBorder="1" applyAlignment="1">
      <alignment horizontal="center"/>
    </xf>
    <xf numFmtId="0" fontId="14" fillId="2" borderId="20" xfId="0" applyFont="1" applyFill="1" applyBorder="1" applyAlignment="1">
      <alignment horizontal="center"/>
    </xf>
    <xf numFmtId="0" fontId="2" fillId="2" borderId="21" xfId="0" applyFont="1" applyFill="1" applyBorder="1" applyAlignment="1">
      <alignment horizontal="center" vertical="center"/>
    </xf>
    <xf numFmtId="0" fontId="3" fillId="2" borderId="22" xfId="0" applyFont="1" applyFill="1" applyBorder="1" applyAlignment="1">
      <alignment horizontal="left" vertical="center" wrapText="1"/>
    </xf>
    <xf numFmtId="0" fontId="16" fillId="2" borderId="22" xfId="0" applyFont="1" applyFill="1" applyBorder="1" applyAlignment="1">
      <alignment wrapText="1"/>
    </xf>
    <xf numFmtId="0" fontId="3" fillId="2" borderId="22" xfId="0" applyFont="1" applyFill="1" applyBorder="1" applyAlignment="1">
      <alignment wrapText="1"/>
    </xf>
    <xf numFmtId="0" fontId="2" fillId="2" borderId="23" xfId="0" applyFont="1" applyFill="1" applyBorder="1" applyAlignment="1">
      <alignment horizontal="center" vertical="center"/>
    </xf>
    <xf numFmtId="0" fontId="0" fillId="4" borderId="0" xfId="0" applyFill="1"/>
    <xf numFmtId="14" fontId="3" fillId="2" borderId="7" xfId="0" applyNumberFormat="1" applyFont="1" applyFill="1" applyBorder="1" applyAlignment="1" applyProtection="1">
      <alignment horizontal="left"/>
      <protection locked="0"/>
    </xf>
    <xf numFmtId="0" fontId="2" fillId="2" borderId="0" xfId="0" applyFont="1" applyFill="1" applyAlignment="1">
      <alignment horizontal="center"/>
    </xf>
    <xf numFmtId="0" fontId="2" fillId="2" borderId="3" xfId="0" applyFont="1" applyFill="1" applyBorder="1" applyAlignment="1">
      <alignment horizontal="center"/>
    </xf>
    <xf numFmtId="0" fontId="3" fillId="2" borderId="3" xfId="0" applyFont="1" applyFill="1" applyBorder="1" applyAlignment="1">
      <alignment horizontal="center"/>
    </xf>
    <xf numFmtId="164" fontId="3" fillId="2" borderId="3" xfId="1" applyNumberFormat="1" applyFont="1" applyFill="1" applyBorder="1" applyAlignment="1" applyProtection="1">
      <alignment horizontal="left"/>
      <protection locked="0"/>
    </xf>
    <xf numFmtId="14" fontId="3" fillId="2" borderId="3" xfId="0" applyNumberFormat="1" applyFont="1" applyFill="1" applyBorder="1" applyAlignment="1" applyProtection="1">
      <alignment horizontal="left"/>
      <protection locked="0"/>
    </xf>
    <xf numFmtId="0" fontId="3" fillId="2" borderId="0" xfId="0" applyFont="1" applyFill="1" applyAlignment="1">
      <alignment horizontal="left" vertical="top"/>
    </xf>
    <xf numFmtId="0" fontId="3" fillId="2" borderId="3" xfId="0" applyFont="1" applyFill="1" applyBorder="1" applyAlignment="1" applyProtection="1">
      <alignment horizontal="left"/>
      <protection locked="0"/>
    </xf>
    <xf numFmtId="0" fontId="3" fillId="2" borderId="7" xfId="0" applyFont="1" applyFill="1" applyBorder="1" applyAlignment="1" applyProtection="1">
      <alignment horizontal="left"/>
      <protection locked="0"/>
    </xf>
    <xf numFmtId="0" fontId="3" fillId="2" borderId="6" xfId="0" applyFont="1" applyFill="1" applyBorder="1" applyAlignment="1" applyProtection="1">
      <alignment horizontal="center" vertical="center" wrapText="1"/>
      <protection locked="0"/>
    </xf>
    <xf numFmtId="0" fontId="3" fillId="2" borderId="8" xfId="0" applyFont="1" applyFill="1" applyBorder="1" applyAlignment="1" applyProtection="1">
      <alignment horizontal="center" vertical="center" wrapText="1"/>
      <protection locked="0"/>
    </xf>
    <xf numFmtId="164" fontId="3" fillId="2" borderId="7" xfId="1" applyNumberFormat="1" applyFont="1" applyFill="1" applyBorder="1" applyAlignment="1" applyProtection="1">
      <alignment horizontal="left"/>
      <protection locked="0"/>
    </xf>
    <xf numFmtId="0" fontId="2" fillId="2" borderId="2" xfId="0" applyFont="1" applyFill="1" applyBorder="1" applyAlignment="1">
      <alignment horizontal="center"/>
    </xf>
    <xf numFmtId="0" fontId="4" fillId="2" borderId="3" xfId="0" applyFont="1" applyFill="1" applyBorder="1" applyAlignment="1">
      <alignment horizontal="center"/>
    </xf>
    <xf numFmtId="0" fontId="3" fillId="2" borderId="1" xfId="0" applyFont="1" applyFill="1" applyBorder="1" applyProtection="1">
      <protection locked="0"/>
    </xf>
    <xf numFmtId="0" fontId="7" fillId="2" borderId="6" xfId="0" applyFont="1" applyFill="1" applyBorder="1" applyAlignment="1">
      <alignment horizontal="center"/>
    </xf>
    <xf numFmtId="0" fontId="7" fillId="2" borderId="7" xfId="0" applyFont="1" applyFill="1" applyBorder="1" applyAlignment="1">
      <alignment horizontal="center"/>
    </xf>
    <xf numFmtId="0" fontId="7" fillId="2" borderId="8" xfId="0" applyFont="1" applyFill="1" applyBorder="1" applyAlignment="1">
      <alignment horizontal="center"/>
    </xf>
    <xf numFmtId="0" fontId="4" fillId="2" borderId="0" xfId="0" applyFont="1" applyFill="1" applyAlignment="1">
      <alignment horizontal="center"/>
    </xf>
    <xf numFmtId="0" fontId="2" fillId="2" borderId="0" xfId="0" applyFont="1" applyFill="1"/>
    <xf numFmtId="0" fontId="3" fillId="2" borderId="0" xfId="0" applyFont="1" applyFill="1"/>
    <xf numFmtId="0" fontId="2" fillId="2" borderId="3" xfId="0" applyFont="1" applyFill="1" applyBorder="1"/>
    <xf numFmtId="0" fontId="12" fillId="2" borderId="0" xfId="0" applyFont="1" applyFill="1" applyAlignment="1">
      <alignment horizontal="center" vertical="center" wrapText="1"/>
    </xf>
    <xf numFmtId="0" fontId="12" fillId="2" borderId="5" xfId="0" applyFont="1" applyFill="1" applyBorder="1" applyAlignment="1">
      <alignment horizontal="center" vertical="center" wrapText="1"/>
    </xf>
    <xf numFmtId="164" fontId="3" fillId="2" borderId="1" xfId="1" applyNumberFormat="1" applyFont="1" applyFill="1" applyBorder="1" applyProtection="1">
      <protection locked="0"/>
    </xf>
    <xf numFmtId="164" fontId="3" fillId="3" borderId="1" xfId="1" applyNumberFormat="1" applyFont="1" applyFill="1" applyBorder="1"/>
    <xf numFmtId="0" fontId="2" fillId="2" borderId="12" xfId="0" applyFont="1" applyFill="1" applyBorder="1"/>
    <xf numFmtId="0" fontId="2" fillId="2" borderId="11" xfId="0" applyFont="1" applyFill="1" applyBorder="1"/>
    <xf numFmtId="0" fontId="2" fillId="2" borderId="13" xfId="0" applyFont="1" applyFill="1" applyBorder="1"/>
    <xf numFmtId="0" fontId="2" fillId="2" borderId="12" xfId="0" applyFont="1" applyFill="1" applyBorder="1" applyAlignment="1">
      <alignment horizontal="center"/>
    </xf>
    <xf numFmtId="0" fontId="2" fillId="2" borderId="11" xfId="0" applyFont="1" applyFill="1" applyBorder="1" applyAlignment="1">
      <alignment horizontal="center"/>
    </xf>
    <xf numFmtId="0" fontId="2" fillId="2" borderId="13" xfId="0" applyFont="1" applyFill="1" applyBorder="1" applyAlignment="1">
      <alignment horizontal="center"/>
    </xf>
    <xf numFmtId="0" fontId="2" fillId="2" borderId="6" xfId="0" applyFont="1" applyFill="1" applyBorder="1" applyAlignment="1">
      <alignment horizont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3" fillId="2" borderId="11" xfId="0" applyFont="1" applyFill="1" applyBorder="1" applyAlignment="1">
      <alignment horizontal="center"/>
    </xf>
    <xf numFmtId="43" fontId="2" fillId="2" borderId="2" xfId="1" applyFont="1" applyFill="1" applyBorder="1" applyAlignment="1">
      <alignment horizontal="center"/>
    </xf>
    <xf numFmtId="43" fontId="3" fillId="2" borderId="12" xfId="1" applyFont="1" applyFill="1" applyBorder="1"/>
    <xf numFmtId="43" fontId="3" fillId="2" borderId="11" xfId="1" applyFont="1" applyFill="1" applyBorder="1"/>
    <xf numFmtId="43" fontId="3" fillId="2" borderId="4" xfId="1" applyFont="1" applyFill="1" applyBorder="1"/>
    <xf numFmtId="43" fontId="3" fillId="2" borderId="0" xfId="1" applyFont="1" applyFill="1" applyBorder="1"/>
    <xf numFmtId="164" fontId="3" fillId="2" borderId="11" xfId="1" applyNumberFormat="1" applyFont="1" applyFill="1" applyBorder="1"/>
    <xf numFmtId="164" fontId="3" fillId="2" borderId="13" xfId="1" applyNumberFormat="1" applyFont="1" applyFill="1" applyBorder="1"/>
    <xf numFmtId="164" fontId="3" fillId="2" borderId="0" xfId="1" applyNumberFormat="1" applyFont="1" applyFill="1" applyBorder="1"/>
    <xf numFmtId="164" fontId="3" fillId="2" borderId="5" xfId="1" applyNumberFormat="1" applyFont="1" applyFill="1" applyBorder="1"/>
    <xf numFmtId="164" fontId="3" fillId="2" borderId="3" xfId="1" applyNumberFormat="1" applyFont="1" applyFill="1" applyBorder="1"/>
    <xf numFmtId="164" fontId="3" fillId="2" borderId="10" xfId="1" applyNumberFormat="1" applyFont="1" applyFill="1" applyBorder="1"/>
    <xf numFmtId="43" fontId="3" fillId="2" borderId="7" xfId="0" applyNumberFormat="1" applyFont="1" applyFill="1" applyBorder="1"/>
    <xf numFmtId="0" fontId="3" fillId="2" borderId="8" xfId="0" applyFont="1" applyFill="1" applyBorder="1"/>
    <xf numFmtId="0" fontId="17" fillId="2" borderId="0" xfId="0" applyFont="1" applyFill="1" applyAlignment="1">
      <alignment horizontal="center"/>
    </xf>
    <xf numFmtId="0" fontId="16" fillId="2" borderId="24" xfId="0" applyFont="1" applyFill="1" applyBorder="1" applyAlignment="1">
      <alignment vertical="center" wrapText="1"/>
    </xf>
    <xf numFmtId="0" fontId="2" fillId="2" borderId="21" xfId="0" applyFont="1" applyFill="1" applyBorder="1" applyAlignment="1">
      <alignment horizontal="center" vertical="center" wrapText="1"/>
    </xf>
  </cellXfs>
  <cellStyles count="4">
    <cellStyle name="Comma" xfId="1" builtinId="3"/>
    <cellStyle name="Hyperlink" xfId="3" builtinId="8"/>
    <cellStyle name="Normal" xfId="0" builtinId="0"/>
    <cellStyle name="Percent" xfId="2" builtinId="5"/>
  </cellStyles>
  <dxfs count="21">
    <dxf>
      <fill>
        <patternFill>
          <bgColor theme="9" tint="0.79998168889431442"/>
        </patternFill>
      </fill>
    </dxf>
    <dxf>
      <font>
        <color rgb="FFFF0000"/>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color rgb="FFFF0000"/>
      </font>
    </dxf>
    <dxf>
      <font>
        <color rgb="FFFF0000"/>
      </font>
    </dxf>
    <dxf>
      <fill>
        <patternFill>
          <bgColor theme="6" tint="0.79998168889431442"/>
        </patternFill>
      </fill>
    </dxf>
    <dxf>
      <fill>
        <patternFill>
          <bgColor theme="6" tint="0.79998168889431442"/>
        </patternFill>
      </fill>
    </dxf>
    <dxf>
      <numFmt numFmtId="13" formatCode="0%"/>
    </dxf>
    <dxf>
      <font>
        <b val="0"/>
        <i val="0"/>
        <strike val="0"/>
        <condense val="0"/>
        <extend val="0"/>
        <outline val="0"/>
        <shadow val="0"/>
        <u val="none"/>
        <vertAlign val="baseline"/>
        <sz val="12"/>
        <color theme="1"/>
        <name val="Garamond"/>
        <scheme val="none"/>
      </font>
      <fill>
        <patternFill patternType="none">
          <fgColor theme="4" tint="0.79998168889431442"/>
          <bgColor auto="1"/>
        </patternFill>
      </fill>
      <border diagonalUp="0" diagonalDown="0" outline="0">
        <left style="thin">
          <color theme="4" tint="0.39997558519241921"/>
        </left>
        <right/>
        <top style="thin">
          <color theme="4" tint="0.39997558519241921"/>
        </top>
        <bottom style="thin">
          <color theme="4" tint="0.39997558519241921"/>
        </bottom>
      </border>
    </dxf>
    <dxf>
      <border outline="0">
        <bottom style="thin">
          <color theme="4" tint="0.39997558519241921"/>
        </bottom>
      </border>
    </dxf>
    <dxf>
      <font>
        <b val="0"/>
        <i val="0"/>
        <strike val="0"/>
        <condense val="0"/>
        <extend val="0"/>
        <outline val="0"/>
        <shadow val="0"/>
        <u val="none"/>
        <vertAlign val="baseline"/>
        <sz val="12"/>
        <color theme="1"/>
        <name val="Garamond"/>
        <scheme val="none"/>
      </font>
      <fill>
        <patternFill patternType="none">
          <fgColor theme="4" tint="0.79998168889431442"/>
          <bgColor auto="1"/>
        </patternFill>
      </fill>
    </dxf>
    <dxf>
      <fill>
        <patternFill patternType="none">
          <bgColor auto="1"/>
        </patternFill>
      </fill>
    </dxf>
  </dxfs>
  <tableStyles count="0" defaultTableStyle="TableStyleMedium2" defaultPivotStyle="PivotStyleLight16"/>
  <colors>
    <mruColors>
      <color rgb="FF49586C"/>
      <color rgb="FF2F5E7B"/>
      <color rgb="FF6F934B"/>
      <color rgb="FF72AF2F"/>
      <color rgb="FF3D50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161926</xdr:colOff>
      <xdr:row>36</xdr:row>
      <xdr:rowOff>90214</xdr:rowOff>
    </xdr:to>
    <xdr:pic>
      <xdr:nvPicPr>
        <xdr:cNvPr id="2" name="Picture 1">
          <a:extLst>
            <a:ext uri="{FF2B5EF4-FFF2-40B4-BE49-F238E27FC236}">
              <a16:creationId xmlns:a16="http://schemas.microsoft.com/office/drawing/2014/main" id="{F6DEE9B7-A08D-4BB6-A32A-5842F96B8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2353926" cy="6948214"/>
        </a:xfrm>
        <a:prstGeom prst="rect">
          <a:avLst/>
        </a:prstGeom>
      </xdr:spPr>
    </xdr:pic>
    <xdr:clientData/>
  </xdr:twoCellAnchor>
  <xdr:oneCellAnchor>
    <xdr:from>
      <xdr:col>1</xdr:col>
      <xdr:colOff>555247</xdr:colOff>
      <xdr:row>31</xdr:row>
      <xdr:rowOff>31216</xdr:rowOff>
    </xdr:from>
    <xdr:ext cx="4280659" cy="727122"/>
    <xdr:sp macro="" textlink="">
      <xdr:nvSpPr>
        <xdr:cNvPr id="3" name="Rectangle 2">
          <a:extLst>
            <a:ext uri="{FF2B5EF4-FFF2-40B4-BE49-F238E27FC236}">
              <a16:creationId xmlns:a16="http://schemas.microsoft.com/office/drawing/2014/main" id="{03518B30-43DB-4C25-9D0A-8B705E76921A}"/>
            </a:ext>
          </a:extLst>
        </xdr:cNvPr>
        <xdr:cNvSpPr/>
      </xdr:nvSpPr>
      <xdr:spPr>
        <a:xfrm>
          <a:off x="1164847" y="5936716"/>
          <a:ext cx="4280659" cy="727122"/>
        </a:xfrm>
        <a:prstGeom prst="rect">
          <a:avLst/>
        </a:prstGeom>
        <a:noFill/>
      </xdr:spPr>
      <xdr:txBody>
        <a:bodyPr wrap="none" lIns="91440" tIns="45720" rIns="91440" bIns="45720">
          <a:spAutoFit/>
        </a:bodyPr>
        <a:lstStyle/>
        <a:p>
          <a:pPr algn="ctr"/>
          <a:r>
            <a:rPr lang="en-US" sz="4400" b="0" cap="none" spc="0">
              <a:ln w="0"/>
              <a:solidFill>
                <a:srgbClr val="8AAF8E"/>
              </a:solidFill>
              <a:effectLst>
                <a:outerShdw blurRad="38100" dist="19050" dir="2700000" algn="tl" rotWithShape="0">
                  <a:schemeClr val="dk1">
                    <a:alpha val="40000"/>
                  </a:schemeClr>
                </a:outerShdw>
              </a:effectLst>
              <a:latin typeface="Garamond" panose="02020404030301010803" pitchFamily="18" charset="0"/>
            </a:rPr>
            <a:t>Effective</a:t>
          </a:r>
          <a:r>
            <a:rPr lang="en-US" sz="4400" b="0" cap="none" spc="0" baseline="0">
              <a:ln w="0"/>
              <a:solidFill>
                <a:srgbClr val="8AAF8E"/>
              </a:solidFill>
              <a:effectLst>
                <a:outerShdw blurRad="38100" dist="19050" dir="2700000" algn="tl" rotWithShape="0">
                  <a:schemeClr val="dk1">
                    <a:alpha val="40000"/>
                  </a:schemeClr>
                </a:outerShdw>
              </a:effectLst>
              <a:latin typeface="Garamond" panose="02020404030301010803" pitchFamily="18" charset="0"/>
            </a:rPr>
            <a:t>: 3.1.2026</a:t>
          </a:r>
          <a:endParaRPr lang="en-US" sz="4400" b="0" cap="none" spc="0">
            <a:ln w="0"/>
            <a:solidFill>
              <a:srgbClr val="8AAF8E"/>
            </a:solidFill>
            <a:effectLst>
              <a:outerShdw blurRad="38100" dist="19050" dir="2700000" algn="tl" rotWithShape="0">
                <a:schemeClr val="dk1">
                  <a:alpha val="40000"/>
                </a:schemeClr>
              </a:outerShdw>
            </a:effectLst>
            <a:latin typeface="Garamond" panose="02020404030301010803" pitchFamily="18" charset="0"/>
          </a:endParaRPr>
        </a:p>
      </xdr:txBody>
    </xdr:sp>
    <xdr:clientData/>
  </xdr:oneCellAnchor>
  <xdr:oneCellAnchor>
    <xdr:from>
      <xdr:col>0</xdr:col>
      <xdr:colOff>0</xdr:colOff>
      <xdr:row>8</xdr:row>
      <xdr:rowOff>183616</xdr:rowOff>
    </xdr:from>
    <xdr:ext cx="6610350" cy="871392"/>
    <xdr:sp macro="" textlink="">
      <xdr:nvSpPr>
        <xdr:cNvPr id="4" name="Rectangle 3">
          <a:extLst>
            <a:ext uri="{FF2B5EF4-FFF2-40B4-BE49-F238E27FC236}">
              <a16:creationId xmlns:a16="http://schemas.microsoft.com/office/drawing/2014/main" id="{05E207D5-D7BA-4E04-B5C2-75BFDC3F879D}"/>
            </a:ext>
          </a:extLst>
        </xdr:cNvPr>
        <xdr:cNvSpPr/>
      </xdr:nvSpPr>
      <xdr:spPr>
        <a:xfrm>
          <a:off x="0" y="1707616"/>
          <a:ext cx="6610350" cy="871392"/>
        </a:xfrm>
        <a:prstGeom prst="rect">
          <a:avLst/>
        </a:prstGeom>
        <a:noFill/>
      </xdr:spPr>
      <xdr:txBody>
        <a:bodyPr wrap="square" lIns="91440" tIns="45720" rIns="91440" bIns="45720">
          <a:spAutoFit/>
        </a:bodyPr>
        <a:lstStyle/>
        <a:p>
          <a:pPr algn="ctr"/>
          <a:r>
            <a:rPr lang="en-US" sz="5400" b="0" cap="none" spc="0">
              <a:ln w="0"/>
              <a:solidFill>
                <a:srgbClr val="8AAF8E"/>
              </a:solidFill>
              <a:effectLst>
                <a:outerShdw blurRad="38100" dist="19050" dir="2700000" algn="tl" rotWithShape="0">
                  <a:schemeClr val="dk1">
                    <a:alpha val="40000"/>
                  </a:schemeClr>
                </a:outerShdw>
              </a:effectLst>
              <a:latin typeface="Garamond" panose="02020404030301010803" pitchFamily="18" charset="0"/>
            </a:rPr>
            <a:t>Non LIHTC Rental</a:t>
          </a:r>
        </a:p>
      </xdr:txBody>
    </xdr:sp>
    <xdr:clientData/>
  </xdr:oneCellAnchor>
  <xdr:oneCellAnchor>
    <xdr:from>
      <xdr:col>0</xdr:col>
      <xdr:colOff>114300</xdr:colOff>
      <xdr:row>19</xdr:row>
      <xdr:rowOff>50266</xdr:rowOff>
    </xdr:from>
    <xdr:ext cx="6381751" cy="784830"/>
    <xdr:sp macro="" textlink="">
      <xdr:nvSpPr>
        <xdr:cNvPr id="5" name="Rectangle 4">
          <a:extLst>
            <a:ext uri="{FF2B5EF4-FFF2-40B4-BE49-F238E27FC236}">
              <a16:creationId xmlns:a16="http://schemas.microsoft.com/office/drawing/2014/main" id="{750B0BDD-D21B-42CD-AB17-F97EE452EC7D}"/>
            </a:ext>
          </a:extLst>
        </xdr:cNvPr>
        <xdr:cNvSpPr/>
      </xdr:nvSpPr>
      <xdr:spPr>
        <a:xfrm>
          <a:off x="114300" y="3669766"/>
          <a:ext cx="6381751" cy="784830"/>
        </a:xfrm>
        <a:prstGeom prst="rect">
          <a:avLst/>
        </a:prstGeom>
        <a:noFill/>
      </xdr:spPr>
      <xdr:txBody>
        <a:bodyPr wrap="square" lIns="91440" tIns="45720" rIns="91440" bIns="45720">
          <a:spAutoFit/>
        </a:bodyPr>
        <a:lstStyle/>
        <a:p>
          <a:pPr algn="ctr"/>
          <a:r>
            <a:rPr lang="en-US" sz="4800" b="0" cap="none" spc="0">
              <a:ln w="0"/>
              <a:solidFill>
                <a:srgbClr val="8AAF8E"/>
              </a:solidFill>
              <a:effectLst>
                <a:outerShdw blurRad="38100" dist="19050" dir="2700000" algn="tl" rotWithShape="0">
                  <a:schemeClr val="dk1">
                    <a:alpha val="40000"/>
                  </a:schemeClr>
                </a:outerShdw>
              </a:effectLst>
              <a:latin typeface="Garamond" panose="02020404030301010803" pitchFamily="18" charset="0"/>
            </a:rPr>
            <a:t>Application</a:t>
          </a:r>
          <a:r>
            <a:rPr lang="en-US" sz="4800" b="0" cap="none" spc="0" baseline="0">
              <a:ln w="0"/>
              <a:solidFill>
                <a:srgbClr val="8AAF8E"/>
              </a:solidFill>
              <a:effectLst>
                <a:outerShdw blurRad="38100" dist="19050" dir="2700000" algn="tl" rotWithShape="0">
                  <a:schemeClr val="dk1">
                    <a:alpha val="40000"/>
                  </a:schemeClr>
                </a:outerShdw>
              </a:effectLst>
              <a:latin typeface="Garamond" panose="02020404030301010803" pitchFamily="18" charset="0"/>
            </a:rPr>
            <a:t> Workbook</a:t>
          </a:r>
          <a:endParaRPr lang="en-US" sz="4800" b="0" cap="none" spc="0">
            <a:ln w="0"/>
            <a:solidFill>
              <a:srgbClr val="8AAF8E"/>
            </a:solidFill>
            <a:effectLst>
              <a:outerShdw blurRad="38100" dist="19050" dir="2700000" algn="tl" rotWithShape="0">
                <a:schemeClr val="dk1">
                  <a:alpha val="40000"/>
                </a:schemeClr>
              </a:outerShdw>
            </a:effectLst>
            <a:latin typeface="Garamond" panose="02020404030301010803" pitchFamily="18" charset="0"/>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4114800</xdr:colOff>
      <xdr:row>2</xdr:row>
      <xdr:rowOff>38100</xdr:rowOff>
    </xdr:from>
    <xdr:to>
      <xdr:col>2</xdr:col>
      <xdr:colOff>4933950</xdr:colOff>
      <xdr:row>2</xdr:row>
      <xdr:rowOff>95250</xdr:rowOff>
    </xdr:to>
    <xdr:cxnSp macro="">
      <xdr:nvCxnSpPr>
        <xdr:cNvPr id="3" name="Straight Arrow Connector 2">
          <a:extLst>
            <a:ext uri="{FF2B5EF4-FFF2-40B4-BE49-F238E27FC236}">
              <a16:creationId xmlns:a16="http://schemas.microsoft.com/office/drawing/2014/main" id="{76A32B06-F202-6BE0-D915-45C3C9FD01E3}"/>
            </a:ext>
          </a:extLst>
        </xdr:cNvPr>
        <xdr:cNvCxnSpPr/>
      </xdr:nvCxnSpPr>
      <xdr:spPr>
        <a:xfrm flipV="1">
          <a:off x="7115175" y="533400"/>
          <a:ext cx="819150" cy="57150"/>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BB8764-37C5-4206-9C25-38CAE5D8E41C}" name="County" displayName="County" ref="B2:B18" totalsRowShown="0" headerRowDxfId="20" dataDxfId="19" tableBorderDxfId="18">
  <autoFilter ref="B2:B18" xr:uid="{A3BB8764-37C5-4206-9C25-38CAE5D8E41C}"/>
  <sortState xmlns:xlrd2="http://schemas.microsoft.com/office/spreadsheetml/2017/richdata2" ref="B3:B18">
    <sortCondition ref="B2:B18"/>
  </sortState>
  <tableColumns count="1">
    <tableColumn id="1" xr3:uid="{65FE688A-CB05-4AE3-A204-8ACF2867BD92}" name="County" dataDxfId="1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67987C2-5D6C-4117-AF4D-814C3BCA0026}" name="ConstructionType" displayName="ConstructionType" ref="D2:D8" totalsRowShown="0">
  <autoFilter ref="D2:D8" xr:uid="{667987C2-5D6C-4117-AF4D-814C3BCA0026}"/>
  <sortState xmlns:xlrd2="http://schemas.microsoft.com/office/spreadsheetml/2017/richdata2" ref="D3:D8">
    <sortCondition ref="D2:D8"/>
  </sortState>
  <tableColumns count="1">
    <tableColumn id="1" xr3:uid="{196284B5-EB99-43C8-AB07-FDFAD1963AA2}" name="Construction Typ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6E75ED-46EA-467D-9A29-36A0C707BCF4}" name="UtilityType" displayName="UtilityType" ref="F2:F7" totalsRowShown="0">
  <autoFilter ref="F2:F7" xr:uid="{AE6E75ED-46EA-467D-9A29-36A0C707BCF4}"/>
  <sortState xmlns:xlrd2="http://schemas.microsoft.com/office/spreadsheetml/2017/richdata2" ref="F3:F7">
    <sortCondition ref="F2:F7"/>
  </sortState>
  <tableColumns count="1">
    <tableColumn id="1" xr3:uid="{EB49A537-3133-44CD-8AAA-70E95E02A71B}" name="Utility Typ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B70A826-68B7-4ED3-B403-265701B32BA2}" name="BRSize" displayName="BRSize" ref="H2:H7" totalsRowShown="0">
  <autoFilter ref="H2:H7" xr:uid="{2B70A826-68B7-4ED3-B403-265701B32BA2}"/>
  <sortState xmlns:xlrd2="http://schemas.microsoft.com/office/spreadsheetml/2017/richdata2" ref="H3:H8">
    <sortCondition ref="H2:H8"/>
  </sortState>
  <tableColumns count="1">
    <tableColumn id="1" xr3:uid="{6F7D262E-F01D-40E3-B742-242B77F79E98}" name="Bedroom"/>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ADC8728-7FC6-4A68-8F1A-167637BA7ACB}" name="AMI" displayName="AMI" ref="H9:H13" totalsRowShown="0">
  <autoFilter ref="H9:H13" xr:uid="{4ADC8728-7FC6-4A68-8F1A-167637BA7ACB}"/>
  <tableColumns count="1">
    <tableColumn id="1" xr3:uid="{DDE5A6A2-CD79-4683-868C-82EE134D63D6}" name="AMI" dataDxfId="1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D808746-DEF8-45C2-B5A4-FF45C98CDE14}" name="Loan" displayName="Loan" ref="J2:J6" totalsRowShown="0">
  <autoFilter ref="J2:J6" xr:uid="{5D808746-DEF8-45C2-B5A4-FF45C98CDE14}"/>
  <tableColumns count="1">
    <tableColumn id="1" xr3:uid="{247081D0-1BA6-405C-AB75-2EBBED449697}" name="Structur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mainehousing.org/partners/partner-type/asset-management" TargetMode="External"/><Relationship Id="rId1" Type="http://schemas.openxmlformats.org/officeDocument/2006/relationships/hyperlink" Target="https://mainehousing.org/charts/rent-income-charts"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8DEAE-D1D1-4FA9-9BDB-825966CCBD9A}">
  <sheetPr codeName="Sheet6"/>
  <dimension ref="B3:N10"/>
  <sheetViews>
    <sheetView workbookViewId="0">
      <selection activeCell="E21" sqref="E21"/>
    </sheetView>
  </sheetViews>
  <sheetFormatPr defaultRowHeight="15.75" x14ac:dyDescent="0.25"/>
  <cols>
    <col min="1" max="1" width="9.140625" style="2"/>
    <col min="2" max="3" width="15.85546875" style="2" customWidth="1"/>
    <col min="4" max="13" width="9.140625" style="2"/>
    <col min="14" max="14" width="12.7109375" style="64" customWidth="1"/>
    <col min="15" max="16384" width="9.140625" style="2"/>
  </cols>
  <sheetData>
    <row r="3" spans="2:14" x14ac:dyDescent="0.25">
      <c r="B3" s="157" t="s">
        <v>199</v>
      </c>
      <c r="C3" s="158"/>
      <c r="D3" s="158"/>
      <c r="E3" s="158"/>
      <c r="F3" s="158"/>
      <c r="G3" s="158"/>
      <c r="H3" s="158"/>
      <c r="I3" s="158"/>
      <c r="K3" s="156" t="s">
        <v>347</v>
      </c>
      <c r="L3" s="156"/>
      <c r="M3" s="156"/>
      <c r="N3" s="156"/>
    </row>
    <row r="4" spans="2:14" x14ac:dyDescent="0.25">
      <c r="K4" s="2" t="s">
        <v>112</v>
      </c>
      <c r="N4" s="64">
        <f>'MH Underwriting'!K60</f>
        <v>0</v>
      </c>
    </row>
    <row r="5" spans="2:14" x14ac:dyDescent="0.25">
      <c r="B5" s="2" t="s">
        <v>200</v>
      </c>
      <c r="D5" s="160"/>
      <c r="E5" s="160"/>
      <c r="F5" s="160"/>
      <c r="G5" s="160"/>
      <c r="H5" s="160"/>
      <c r="I5" s="160"/>
      <c r="K5" s="2" t="s">
        <v>348</v>
      </c>
      <c r="N5" s="64">
        <f>'MH Underwriting'!K6</f>
        <v>0</v>
      </c>
    </row>
    <row r="6" spans="2:14" x14ac:dyDescent="0.25">
      <c r="B6" s="2" t="s">
        <v>201</v>
      </c>
      <c r="D6" s="159"/>
      <c r="E6" s="159"/>
      <c r="F6" s="159"/>
      <c r="G6" s="159"/>
      <c r="H6" s="159"/>
      <c r="I6" s="159"/>
      <c r="K6" s="2" t="s">
        <v>349</v>
      </c>
      <c r="N6" s="64">
        <f>SUM(SUMIFS('Operating Budget'!$F$21:$F$31,'Operating Budget'!$E$21:$E$31,0),SUMPRODUCT('Operating Budget'!$F$21:$F$31,'Operating Budget'!$E$21:$E$31))</f>
        <v>0</v>
      </c>
    </row>
    <row r="7" spans="2:14" x14ac:dyDescent="0.25">
      <c r="B7" s="2" t="s">
        <v>299</v>
      </c>
      <c r="D7" s="155"/>
      <c r="E7" s="155"/>
      <c r="F7" s="155"/>
      <c r="G7" s="155"/>
      <c r="H7" s="155"/>
      <c r="I7" s="155"/>
      <c r="K7" s="2" t="s">
        <v>350</v>
      </c>
      <c r="N7" s="108">
        <f>N4/IF(N5=0,1,N5)</f>
        <v>0</v>
      </c>
    </row>
    <row r="8" spans="2:14" x14ac:dyDescent="0.25">
      <c r="B8" s="2" t="s">
        <v>324</v>
      </c>
      <c r="D8" s="155"/>
      <c r="E8" s="155"/>
      <c r="F8" s="155"/>
      <c r="G8" s="155"/>
      <c r="H8" s="155"/>
      <c r="I8" s="155"/>
      <c r="K8" s="2" t="s">
        <v>351</v>
      </c>
      <c r="N8" s="64">
        <f>N4/IF(N6=0,1,N6)</f>
        <v>0</v>
      </c>
    </row>
    <row r="9" spans="2:14" ht="16.5" thickBot="1" x14ac:dyDescent="0.3">
      <c r="K9" s="2" t="s">
        <v>352</v>
      </c>
      <c r="N9" s="138">
        <f>(N7*2+N8)/3</f>
        <v>0</v>
      </c>
    </row>
    <row r="10" spans="2:14" ht="16.5" thickTop="1" x14ac:dyDescent="0.25"/>
  </sheetData>
  <mergeCells count="6">
    <mergeCell ref="D8:I8"/>
    <mergeCell ref="K3:N3"/>
    <mergeCell ref="B3:I3"/>
    <mergeCell ref="D6:I6"/>
    <mergeCell ref="D5:I5"/>
    <mergeCell ref="D7:I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60C58-F8B6-46DB-9B92-1CC86D48812B}">
  <sheetPr codeName="Sheet7"/>
  <dimension ref="B2:J18"/>
  <sheetViews>
    <sheetView workbookViewId="0">
      <selection activeCell="J6" sqref="J6"/>
    </sheetView>
  </sheetViews>
  <sheetFormatPr defaultRowHeight="15" x14ac:dyDescent="0.25"/>
  <cols>
    <col min="2" max="2" width="13.5703125" bestFit="1" customWidth="1"/>
    <col min="4" max="4" width="46.28515625" bestFit="1" customWidth="1"/>
    <col min="6" max="6" width="17.7109375" bestFit="1" customWidth="1"/>
    <col min="8" max="8" width="11.85546875" customWidth="1"/>
    <col min="10" max="10" width="12" bestFit="1" customWidth="1"/>
  </cols>
  <sheetData>
    <row r="2" spans="2:10" x14ac:dyDescent="0.25">
      <c r="B2" t="s">
        <v>282</v>
      </c>
      <c r="D2" t="s">
        <v>300</v>
      </c>
      <c r="F2" t="s">
        <v>307</v>
      </c>
      <c r="H2" t="s">
        <v>313</v>
      </c>
      <c r="J2" t="s">
        <v>68</v>
      </c>
    </row>
    <row r="3" spans="2:10" ht="15.75" x14ac:dyDescent="0.25">
      <c r="B3" s="122" t="s">
        <v>283</v>
      </c>
      <c r="D3" t="s">
        <v>301</v>
      </c>
      <c r="F3" t="s">
        <v>308</v>
      </c>
      <c r="H3">
        <v>0</v>
      </c>
      <c r="J3" t="s">
        <v>314</v>
      </c>
    </row>
    <row r="4" spans="2:10" ht="15.75" x14ac:dyDescent="0.25">
      <c r="B4" s="122" t="s">
        <v>284</v>
      </c>
      <c r="D4" t="s">
        <v>303</v>
      </c>
      <c r="F4" t="s">
        <v>312</v>
      </c>
      <c r="H4">
        <v>1</v>
      </c>
      <c r="J4" t="s">
        <v>317</v>
      </c>
    </row>
    <row r="5" spans="2:10" ht="15.75" x14ac:dyDescent="0.25">
      <c r="B5" s="122" t="s">
        <v>285</v>
      </c>
      <c r="D5" t="s">
        <v>304</v>
      </c>
      <c r="F5" t="s">
        <v>309</v>
      </c>
      <c r="H5">
        <v>2</v>
      </c>
      <c r="J5" t="s">
        <v>316</v>
      </c>
    </row>
    <row r="6" spans="2:10" ht="15.75" x14ac:dyDescent="0.25">
      <c r="B6" s="122" t="s">
        <v>286</v>
      </c>
      <c r="D6" t="s">
        <v>305</v>
      </c>
      <c r="F6" t="s">
        <v>311</v>
      </c>
      <c r="H6">
        <v>3</v>
      </c>
      <c r="J6" t="s">
        <v>315</v>
      </c>
    </row>
    <row r="7" spans="2:10" ht="15.75" x14ac:dyDescent="0.25">
      <c r="B7" s="122" t="s">
        <v>287</v>
      </c>
      <c r="D7" t="s">
        <v>306</v>
      </c>
      <c r="F7" t="s">
        <v>310</v>
      </c>
      <c r="H7">
        <v>4</v>
      </c>
    </row>
    <row r="8" spans="2:10" ht="15.75" x14ac:dyDescent="0.25">
      <c r="B8" s="122" t="s">
        <v>288</v>
      </c>
      <c r="D8" t="s">
        <v>302</v>
      </c>
    </row>
    <row r="9" spans="2:10" ht="15.75" x14ac:dyDescent="0.25">
      <c r="B9" s="122" t="s">
        <v>289</v>
      </c>
      <c r="H9" t="s">
        <v>132</v>
      </c>
    </row>
    <row r="10" spans="2:10" ht="15.75" x14ac:dyDescent="0.25">
      <c r="B10" s="122" t="s">
        <v>290</v>
      </c>
      <c r="H10" s="125">
        <v>0.3</v>
      </c>
    </row>
    <row r="11" spans="2:10" ht="15.75" x14ac:dyDescent="0.25">
      <c r="B11" s="122" t="s">
        <v>291</v>
      </c>
      <c r="H11" s="125">
        <v>0.5</v>
      </c>
    </row>
    <row r="12" spans="2:10" ht="15.75" x14ac:dyDescent="0.25">
      <c r="B12" s="122" t="s">
        <v>292</v>
      </c>
      <c r="H12" s="125">
        <v>0.6</v>
      </c>
    </row>
    <row r="13" spans="2:10" ht="15.75" x14ac:dyDescent="0.25">
      <c r="B13" s="122" t="s">
        <v>293</v>
      </c>
      <c r="H13" s="125">
        <v>0.8</v>
      </c>
    </row>
    <row r="14" spans="2:10" ht="15.75" x14ac:dyDescent="0.25">
      <c r="B14" s="122" t="s">
        <v>294</v>
      </c>
    </row>
    <row r="15" spans="2:10" ht="15.75" x14ac:dyDescent="0.25">
      <c r="B15" s="122" t="s">
        <v>295</v>
      </c>
    </row>
    <row r="16" spans="2:10" ht="15.75" x14ac:dyDescent="0.25">
      <c r="B16" s="122" t="s">
        <v>296</v>
      </c>
    </row>
    <row r="17" spans="2:2" ht="15.75" x14ac:dyDescent="0.25">
      <c r="B17" s="122" t="s">
        <v>297</v>
      </c>
    </row>
    <row r="18" spans="2:2" ht="15.75" x14ac:dyDescent="0.25">
      <c r="B18" s="123" t="s">
        <v>298</v>
      </c>
    </row>
  </sheetData>
  <pageMargins left="0.7" right="0.7" top="0.75" bottom="0.75" header="0.3" footer="0.3"/>
  <tableParts count="6">
    <tablePart r:id="rId1"/>
    <tablePart r:id="rId2"/>
    <tablePart r:id="rId3"/>
    <tablePart r:id="rId4"/>
    <tablePart r:id="rId5"/>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E3A72-8FD8-4BEB-B929-DA560AFEDF77}">
  <sheetPr codeName="Sheet8"/>
  <dimension ref="A1"/>
  <sheetViews>
    <sheetView tabSelected="1" workbookViewId="0">
      <selection activeCell="U13" sqref="U13"/>
    </sheetView>
  </sheetViews>
  <sheetFormatPr defaultRowHeight="15" x14ac:dyDescent="0.25"/>
  <cols>
    <col min="1" max="16384" width="9.140625" style="154"/>
  </cols>
  <sheetData/>
  <sheetProtection algorithmName="SHA-512" hashValue="D3QJyIwiZWsb5vahK0615ZqKBVk0+FLF2UXEoy4jypWjwHSaurPwjhYvA9M0sya6Abr755M3jbK/YDrt0YfsBQ==" saltValue="J3qvk0USu2bNmJk2/pkqC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01022-47A7-4F55-AF22-A36AA4E527DA}">
  <sheetPr codeName="Sheet10"/>
  <dimension ref="B2:C11"/>
  <sheetViews>
    <sheetView zoomScaleNormal="100" workbookViewId="0">
      <selection activeCell="C8" sqref="C8"/>
    </sheetView>
  </sheetViews>
  <sheetFormatPr defaultRowHeight="15" x14ac:dyDescent="0.25"/>
  <cols>
    <col min="1" max="1" width="9.140625" style="145"/>
    <col min="2" max="2" width="35.85546875" style="145" customWidth="1"/>
    <col min="3" max="3" width="79.42578125" style="145" customWidth="1"/>
    <col min="4" max="16384" width="9.140625" style="145"/>
  </cols>
  <sheetData>
    <row r="2" spans="2:3" ht="23.25" x14ac:dyDescent="0.35">
      <c r="B2" s="204" t="s">
        <v>357</v>
      </c>
      <c r="C2" s="204"/>
    </row>
    <row r="3" spans="2:3" ht="15.75" x14ac:dyDescent="0.25">
      <c r="B3" s="161" t="s">
        <v>365</v>
      </c>
      <c r="C3" s="161"/>
    </row>
    <row r="4" spans="2:3" x14ac:dyDescent="0.25">
      <c r="B4" s="146"/>
      <c r="C4" s="146"/>
    </row>
    <row r="5" spans="2:3" ht="23.25" x14ac:dyDescent="0.35">
      <c r="B5" s="204" t="s">
        <v>356</v>
      </c>
      <c r="C5" s="204"/>
    </row>
    <row r="6" spans="2:3" ht="15.75" thickBot="1" x14ac:dyDescent="0.3">
      <c r="B6" s="146"/>
      <c r="C6" s="146"/>
    </row>
    <row r="7" spans="2:3" ht="23.25" x14ac:dyDescent="0.35">
      <c r="B7" s="147" t="s">
        <v>353</v>
      </c>
      <c r="C7" s="148" t="s">
        <v>354</v>
      </c>
    </row>
    <row r="8" spans="2:3" ht="94.5" x14ac:dyDescent="0.25">
      <c r="B8" s="206" t="s">
        <v>355</v>
      </c>
      <c r="C8" s="150" t="s">
        <v>360</v>
      </c>
    </row>
    <row r="9" spans="2:3" ht="157.5" x14ac:dyDescent="0.25">
      <c r="B9" s="149" t="s">
        <v>358</v>
      </c>
      <c r="C9" s="151" t="s">
        <v>366</v>
      </c>
    </row>
    <row r="10" spans="2:3" ht="141.75" x14ac:dyDescent="0.25">
      <c r="B10" s="149" t="s">
        <v>359</v>
      </c>
      <c r="C10" s="152" t="s">
        <v>367</v>
      </c>
    </row>
    <row r="11" spans="2:3" ht="409.6" thickBot="1" x14ac:dyDescent="0.3">
      <c r="B11" s="153" t="s">
        <v>361</v>
      </c>
      <c r="C11" s="205" t="s">
        <v>368</v>
      </c>
    </row>
  </sheetData>
  <sheetProtection algorithmName="SHA-512" hashValue="xVlYW99slLcAp1E9X6KwBhNLOKbPsfuS+NtaE6VCcN8YTGIxglsUAuZ+0Q03VQPKRw/Y0k8dNkU6vgPeMZ1WjA==" saltValue="bBA6R335iRvsHbb+dF4YWg==" spinCount="100000" sheet="1" objects="1" scenarios="1"/>
  <mergeCells count="3">
    <mergeCell ref="B5:C5"/>
    <mergeCell ref="B2:C2"/>
    <mergeCell ref="B3:C3"/>
  </mergeCells>
  <pageMargins left="0.7" right="0.7" top="0.75" bottom="0.75" header="0.3" footer="0.3"/>
  <pageSetup scale="70"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212F3-980B-4ABC-880A-0F2C1DD0B6CC}">
  <sheetPr codeName="Sheet4"/>
  <dimension ref="B2:I32"/>
  <sheetViews>
    <sheetView zoomScaleNormal="100" workbookViewId="0">
      <selection activeCell="D4" sqref="D4:I4"/>
    </sheetView>
  </sheetViews>
  <sheetFormatPr defaultColWidth="9.140625" defaultRowHeight="15.75" x14ac:dyDescent="0.25"/>
  <cols>
    <col min="1" max="1" width="9.140625" style="2"/>
    <col min="2" max="2" width="18" style="2" customWidth="1"/>
    <col min="3" max="3" width="14.140625" style="2" customWidth="1"/>
    <col min="4" max="8" width="9.140625" style="2"/>
    <col min="9" max="9" width="11.85546875" style="2" customWidth="1"/>
    <col min="10" max="16384" width="9.140625" style="2"/>
  </cols>
  <sheetData>
    <row r="2" spans="2:9" x14ac:dyDescent="0.25">
      <c r="B2" s="157" t="s">
        <v>198</v>
      </c>
      <c r="C2" s="158"/>
      <c r="D2" s="158"/>
      <c r="E2" s="158"/>
      <c r="F2" s="158"/>
      <c r="G2" s="158"/>
      <c r="H2" s="158"/>
      <c r="I2" s="158"/>
    </row>
    <row r="4" spans="2:9" x14ac:dyDescent="0.25">
      <c r="B4" s="2" t="s">
        <v>113</v>
      </c>
      <c r="D4" s="162"/>
      <c r="E4" s="162"/>
      <c r="F4" s="162"/>
      <c r="G4" s="162"/>
      <c r="H4" s="162"/>
      <c r="I4" s="162"/>
    </row>
    <row r="5" spans="2:9" x14ac:dyDescent="0.25">
      <c r="B5" s="2" t="s">
        <v>115</v>
      </c>
      <c r="D5" s="163"/>
      <c r="E5" s="163"/>
      <c r="F5" s="163"/>
      <c r="G5" s="163"/>
      <c r="H5" s="163"/>
      <c r="I5" s="163"/>
    </row>
    <row r="6" spans="2:9" x14ac:dyDescent="0.25">
      <c r="B6" s="2" t="s">
        <v>116</v>
      </c>
      <c r="D6" s="163"/>
      <c r="E6" s="163"/>
      <c r="F6" s="163"/>
      <c r="G6" s="163"/>
      <c r="H6" s="163"/>
      <c r="I6" s="163"/>
    </row>
    <row r="7" spans="2:9" x14ac:dyDescent="0.25">
      <c r="B7" s="2" t="s">
        <v>117</v>
      </c>
      <c r="D7" s="163"/>
      <c r="E7" s="163"/>
      <c r="F7" s="163"/>
      <c r="G7" s="163"/>
      <c r="H7" s="163"/>
      <c r="I7" s="163"/>
    </row>
    <row r="8" spans="2:9" x14ac:dyDescent="0.25">
      <c r="D8" s="124"/>
      <c r="E8" s="124"/>
      <c r="F8" s="124"/>
      <c r="G8" s="124"/>
      <c r="H8" s="124"/>
      <c r="I8" s="124"/>
    </row>
    <row r="9" spans="2:9" x14ac:dyDescent="0.25">
      <c r="B9" s="2" t="s">
        <v>118</v>
      </c>
      <c r="D9" s="162"/>
      <c r="E9" s="162"/>
      <c r="F9" s="162"/>
      <c r="G9" s="162"/>
      <c r="H9" s="162"/>
      <c r="I9" s="162"/>
    </row>
    <row r="10" spans="2:9" x14ac:dyDescent="0.25">
      <c r="B10" s="2" t="s">
        <v>120</v>
      </c>
      <c r="D10" s="166"/>
      <c r="E10" s="166"/>
      <c r="F10" s="166"/>
      <c r="G10" s="166"/>
      <c r="H10" s="166"/>
      <c r="I10" s="166"/>
    </row>
    <row r="11" spans="2:9" x14ac:dyDescent="0.25">
      <c r="B11" s="2" t="s">
        <v>119</v>
      </c>
      <c r="D11" s="166"/>
      <c r="E11" s="166"/>
      <c r="F11" s="166"/>
      <c r="G11" s="166"/>
      <c r="H11" s="166"/>
      <c r="I11" s="166"/>
    </row>
    <row r="13" spans="2:9" x14ac:dyDescent="0.25">
      <c r="B13" s="157" t="s">
        <v>339</v>
      </c>
      <c r="C13" s="158"/>
      <c r="D13" s="158"/>
      <c r="E13" s="158"/>
      <c r="F13" s="158"/>
      <c r="G13" s="158"/>
      <c r="H13" s="158"/>
      <c r="I13" s="158"/>
    </row>
    <row r="15" spans="2:9" x14ac:dyDescent="0.25">
      <c r="B15" s="2" t="s">
        <v>340</v>
      </c>
      <c r="D15" s="162"/>
      <c r="E15" s="162"/>
      <c r="F15" s="162"/>
      <c r="G15" s="162"/>
      <c r="H15" s="162"/>
      <c r="I15" s="162"/>
    </row>
    <row r="16" spans="2:9" x14ac:dyDescent="0.25">
      <c r="B16" s="2" t="s">
        <v>341</v>
      </c>
      <c r="D16" s="163"/>
      <c r="E16" s="163"/>
      <c r="F16" s="163"/>
      <c r="G16" s="163"/>
      <c r="H16" s="163"/>
      <c r="I16" s="163"/>
    </row>
    <row r="17" spans="2:9" x14ac:dyDescent="0.25">
      <c r="D17" s="163"/>
      <c r="E17" s="163"/>
      <c r="F17" s="163"/>
      <c r="G17" s="163"/>
      <c r="H17" s="163"/>
      <c r="I17" s="163"/>
    </row>
    <row r="18" spans="2:9" x14ac:dyDescent="0.25">
      <c r="B18" s="2" t="s">
        <v>342</v>
      </c>
      <c r="D18" s="163"/>
      <c r="E18" s="163"/>
      <c r="F18" s="163"/>
      <c r="G18" s="163"/>
      <c r="H18" s="163"/>
      <c r="I18" s="163"/>
    </row>
    <row r="19" spans="2:9" x14ac:dyDescent="0.25">
      <c r="B19" s="2" t="s">
        <v>343</v>
      </c>
      <c r="D19" s="163"/>
      <c r="E19" s="163"/>
      <c r="F19" s="163"/>
      <c r="G19" s="163"/>
      <c r="H19" s="163"/>
      <c r="I19" s="163"/>
    </row>
    <row r="20" spans="2:9" x14ac:dyDescent="0.25">
      <c r="B20" s="2" t="s">
        <v>344</v>
      </c>
      <c r="D20" s="163"/>
      <c r="E20" s="163"/>
      <c r="F20" s="163"/>
      <c r="G20" s="163"/>
      <c r="H20" s="163"/>
      <c r="I20" s="163"/>
    </row>
    <row r="22" spans="2:9" x14ac:dyDescent="0.25">
      <c r="B22" s="157" t="s">
        <v>325</v>
      </c>
      <c r="C22" s="158"/>
      <c r="D22" s="158"/>
      <c r="E22" s="158"/>
      <c r="F22" s="158"/>
      <c r="G22" s="158"/>
      <c r="H22" s="158"/>
      <c r="I22" s="158"/>
    </row>
    <row r="24" spans="2:9" x14ac:dyDescent="0.25">
      <c r="B24" s="6" t="s">
        <v>330</v>
      </c>
      <c r="C24" s="158" t="s">
        <v>326</v>
      </c>
      <c r="D24" s="158"/>
      <c r="E24" s="158" t="s">
        <v>327</v>
      </c>
      <c r="F24" s="158"/>
      <c r="G24" s="158" t="s">
        <v>328</v>
      </c>
      <c r="H24" s="158"/>
      <c r="I24" s="6" t="s">
        <v>329</v>
      </c>
    </row>
    <row r="25" spans="2:9" ht="45" customHeight="1" x14ac:dyDescent="0.25">
      <c r="B25" s="4" t="s">
        <v>337</v>
      </c>
      <c r="C25" s="164"/>
      <c r="D25" s="165"/>
      <c r="E25" s="164"/>
      <c r="F25" s="165"/>
      <c r="G25" s="164"/>
      <c r="H25" s="165"/>
      <c r="I25" s="131"/>
    </row>
    <row r="26" spans="2:9" ht="45" customHeight="1" x14ac:dyDescent="0.25">
      <c r="B26" s="4" t="s">
        <v>338</v>
      </c>
      <c r="C26" s="164"/>
      <c r="D26" s="165"/>
      <c r="E26" s="164"/>
      <c r="F26" s="165"/>
      <c r="G26" s="164"/>
      <c r="H26" s="165"/>
      <c r="I26" s="131"/>
    </row>
    <row r="27" spans="2:9" ht="45" customHeight="1" x14ac:dyDescent="0.25">
      <c r="B27" s="4" t="s">
        <v>336</v>
      </c>
      <c r="C27" s="164"/>
      <c r="D27" s="165"/>
      <c r="E27" s="164"/>
      <c r="F27" s="165"/>
      <c r="G27" s="164"/>
      <c r="H27" s="165"/>
      <c r="I27" s="131"/>
    </row>
    <row r="28" spans="2:9" ht="45" customHeight="1" x14ac:dyDescent="0.25">
      <c r="B28" s="4" t="s">
        <v>333</v>
      </c>
      <c r="C28" s="164"/>
      <c r="D28" s="165"/>
      <c r="E28" s="164"/>
      <c r="F28" s="165"/>
      <c r="G28" s="164"/>
      <c r="H28" s="165"/>
      <c r="I28" s="131"/>
    </row>
    <row r="29" spans="2:9" ht="45" customHeight="1" x14ac:dyDescent="0.25">
      <c r="B29" s="4" t="s">
        <v>334</v>
      </c>
      <c r="C29" s="164"/>
      <c r="D29" s="165"/>
      <c r="E29" s="164"/>
      <c r="F29" s="165"/>
      <c r="G29" s="164"/>
      <c r="H29" s="165"/>
      <c r="I29" s="131"/>
    </row>
    <row r="30" spans="2:9" ht="45" customHeight="1" x14ac:dyDescent="0.25">
      <c r="B30" s="4" t="s">
        <v>335</v>
      </c>
      <c r="C30" s="164"/>
      <c r="D30" s="165"/>
      <c r="E30" s="164"/>
      <c r="F30" s="165"/>
      <c r="G30" s="164"/>
      <c r="H30" s="165"/>
      <c r="I30" s="131"/>
    </row>
    <row r="31" spans="2:9" ht="45" customHeight="1" x14ac:dyDescent="0.25">
      <c r="B31" s="4" t="s">
        <v>331</v>
      </c>
      <c r="C31" s="164"/>
      <c r="D31" s="165"/>
      <c r="E31" s="164"/>
      <c r="F31" s="165"/>
      <c r="G31" s="164"/>
      <c r="H31" s="165"/>
      <c r="I31" s="131"/>
    </row>
    <row r="32" spans="2:9" ht="45" customHeight="1" x14ac:dyDescent="0.25">
      <c r="B32" s="4" t="s">
        <v>332</v>
      </c>
      <c r="C32" s="164"/>
      <c r="D32" s="165"/>
      <c r="E32" s="164"/>
      <c r="F32" s="165"/>
      <c r="G32" s="164"/>
      <c r="H32" s="165"/>
      <c r="I32" s="131"/>
    </row>
  </sheetData>
  <sheetProtection algorithmName="SHA-512" hashValue="3u4tsu4GBiQwTvJmGyY/s378XHEBtpoc9+asj+MpDjDz4z+VEXF3myw5hYjdTiC9zXPtqk7necjn7WQ9NN/OXw==" saltValue="ti/alnwsp3Cyr8jyQzgEBw==" spinCount="100000" sheet="1" objects="1" scenarios="1"/>
  <mergeCells count="43">
    <mergeCell ref="C32:D32"/>
    <mergeCell ref="B2:I2"/>
    <mergeCell ref="D11:I11"/>
    <mergeCell ref="D4:I4"/>
    <mergeCell ref="D5:I5"/>
    <mergeCell ref="D6:I6"/>
    <mergeCell ref="D7:I7"/>
    <mergeCell ref="D9:I9"/>
    <mergeCell ref="D10:I10"/>
    <mergeCell ref="C24:D24"/>
    <mergeCell ref="E24:F24"/>
    <mergeCell ref="G24:H24"/>
    <mergeCell ref="C27:D27"/>
    <mergeCell ref="C28:D28"/>
    <mergeCell ref="C29:D29"/>
    <mergeCell ref="C30:D30"/>
    <mergeCell ref="C31:D31"/>
    <mergeCell ref="B22:I22"/>
    <mergeCell ref="D19:I19"/>
    <mergeCell ref="D20:I20"/>
    <mergeCell ref="C25:D25"/>
    <mergeCell ref="C26:D26"/>
    <mergeCell ref="E29:F29"/>
    <mergeCell ref="E30:F30"/>
    <mergeCell ref="E31:F31"/>
    <mergeCell ref="E32:F32"/>
    <mergeCell ref="G25:H25"/>
    <mergeCell ref="G26:H26"/>
    <mergeCell ref="G27:H27"/>
    <mergeCell ref="G28:H28"/>
    <mergeCell ref="G29:H29"/>
    <mergeCell ref="G30:H30"/>
    <mergeCell ref="G31:H31"/>
    <mergeCell ref="G32:H32"/>
    <mergeCell ref="E25:F25"/>
    <mergeCell ref="E26:F26"/>
    <mergeCell ref="E27:F27"/>
    <mergeCell ref="E28:F28"/>
    <mergeCell ref="B13:I13"/>
    <mergeCell ref="D15:I15"/>
    <mergeCell ref="D16:I16"/>
    <mergeCell ref="D17:I17"/>
    <mergeCell ref="D18:I18"/>
  </mergeCells>
  <conditionalFormatting sqref="C25:I32">
    <cfRule type="expression" dxfId="15" priority="1">
      <formula>C25=""</formula>
    </cfRule>
  </conditionalFormatting>
  <conditionalFormatting sqref="D4:I7 D9:I11 D15:I20">
    <cfRule type="expression" dxfId="14" priority="5">
      <formula>$D4=""</formula>
    </cfRule>
  </conditionalFormatting>
  <dataValidations count="2">
    <dataValidation type="list" allowBlank="1" showInputMessage="1" showErrorMessage="1" sqref="D9:I9" xr:uid="{78AC21B3-BA1B-40E3-8842-36E59AF7C31D}">
      <formula1>INDIRECT("ConstructionType[Construction Type]")</formula1>
    </dataValidation>
    <dataValidation type="list" allowBlank="1" showInputMessage="1" showErrorMessage="1" sqref="D7:I7" xr:uid="{9C0E8FFB-898B-4032-B1D0-E096EFC7D2B6}">
      <formula1>INDIRECT("County[County]")</formula1>
    </dataValidation>
  </dataValidations>
  <pageMargins left="0.7" right="0.7" top="0.75" bottom="0.75" header="0.3" footer="0.3"/>
  <pageSetup scale="91"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97C37-5F41-431B-A6C9-1D9D97F03ADC}">
  <sheetPr codeName="Sheet1"/>
  <dimension ref="A2:P85"/>
  <sheetViews>
    <sheetView topLeftCell="D47" zoomScaleNormal="100" workbookViewId="0">
      <selection activeCell="P59" sqref="P59:P63"/>
    </sheetView>
  </sheetViews>
  <sheetFormatPr defaultColWidth="9.140625" defaultRowHeight="15.75" x14ac:dyDescent="0.25"/>
  <cols>
    <col min="1" max="1" width="9.85546875" style="2" hidden="1" customWidth="1"/>
    <col min="2" max="3" width="9.140625" style="2" hidden="1" customWidth="1"/>
    <col min="4" max="4" width="9.140625" style="2"/>
    <col min="5" max="5" width="16.5703125" style="2" customWidth="1"/>
    <col min="6" max="9" width="12.28515625" style="2" customWidth="1"/>
    <col min="10" max="10" width="14.140625" style="2" customWidth="1"/>
    <col min="11" max="11" width="16.85546875" style="2" customWidth="1"/>
    <col min="12" max="12" width="12.28515625" style="2" customWidth="1"/>
    <col min="13" max="13" width="13.140625" style="2" customWidth="1"/>
    <col min="14" max="15" width="9.140625" style="2"/>
    <col min="16" max="16" width="16.140625" style="2" customWidth="1"/>
    <col min="17" max="16384" width="9.140625" style="2"/>
  </cols>
  <sheetData>
    <row r="2" spans="5:16" ht="21" x14ac:dyDescent="0.35">
      <c r="E2" s="168" t="s">
        <v>4</v>
      </c>
      <c r="F2" s="168"/>
      <c r="G2" s="168"/>
      <c r="H2" s="168"/>
      <c r="I2" s="168"/>
      <c r="J2" s="168"/>
      <c r="K2" s="168"/>
      <c r="L2" s="168"/>
    </row>
    <row r="3" spans="5:16" x14ac:dyDescent="0.25">
      <c r="E3" s="1"/>
    </row>
    <row r="4" spans="5:16" x14ac:dyDescent="0.25">
      <c r="E4" s="2" t="s">
        <v>60</v>
      </c>
    </row>
    <row r="6" spans="5:16" x14ac:dyDescent="0.25">
      <c r="E6" s="1"/>
      <c r="H6" s="167" t="s">
        <v>8</v>
      </c>
      <c r="I6" s="167"/>
      <c r="J6" s="167"/>
      <c r="K6" s="167"/>
      <c r="L6" s="167"/>
    </row>
    <row r="7" spans="5:16" x14ac:dyDescent="0.25">
      <c r="E7" s="5" t="s">
        <v>5</v>
      </c>
      <c r="F7" s="5" t="s">
        <v>6</v>
      </c>
      <c r="G7" s="5" t="s">
        <v>7</v>
      </c>
      <c r="H7" s="4">
        <v>0</v>
      </c>
      <c r="I7" s="4">
        <v>1</v>
      </c>
      <c r="J7" s="4">
        <v>2</v>
      </c>
      <c r="K7" s="4">
        <v>3</v>
      </c>
      <c r="L7" s="4">
        <v>4</v>
      </c>
    </row>
    <row r="8" spans="5:16" x14ac:dyDescent="0.25">
      <c r="E8" s="4" t="s">
        <v>9</v>
      </c>
      <c r="F8" s="11"/>
      <c r="G8" s="11"/>
      <c r="H8" s="13"/>
      <c r="I8" s="13"/>
      <c r="J8" s="13"/>
      <c r="K8" s="13"/>
      <c r="L8" s="13"/>
    </row>
    <row r="9" spans="5:16" x14ac:dyDescent="0.25">
      <c r="E9" s="4" t="s">
        <v>10</v>
      </c>
      <c r="F9" s="11"/>
      <c r="G9" s="11"/>
      <c r="H9" s="13"/>
      <c r="I9" s="13"/>
      <c r="J9" s="13"/>
      <c r="K9" s="13"/>
      <c r="L9" s="13"/>
    </row>
    <row r="10" spans="5:16" x14ac:dyDescent="0.25">
      <c r="E10" s="4" t="s">
        <v>11</v>
      </c>
      <c r="F10" s="11"/>
      <c r="G10" s="11"/>
      <c r="H10" s="13"/>
      <c r="I10" s="13"/>
      <c r="J10" s="13"/>
      <c r="K10" s="13"/>
      <c r="L10" s="13"/>
    </row>
    <row r="11" spans="5:16" x14ac:dyDescent="0.25">
      <c r="E11" s="4" t="s">
        <v>12</v>
      </c>
      <c r="F11" s="11"/>
      <c r="G11" s="11"/>
      <c r="H11" s="13"/>
      <c r="I11" s="13"/>
      <c r="J11" s="13"/>
      <c r="K11" s="13"/>
      <c r="L11" s="13"/>
    </row>
    <row r="12" spans="5:16" x14ac:dyDescent="0.25">
      <c r="E12" s="4" t="s">
        <v>13</v>
      </c>
      <c r="F12" s="11"/>
      <c r="G12" s="11"/>
      <c r="H12" s="13"/>
      <c r="I12" s="13"/>
      <c r="J12" s="13"/>
      <c r="K12" s="13"/>
      <c r="L12" s="13"/>
    </row>
    <row r="13" spans="5:16" x14ac:dyDescent="0.25">
      <c r="E13" s="4" t="s">
        <v>14</v>
      </c>
      <c r="F13" s="11"/>
      <c r="G13" s="11"/>
      <c r="H13" s="13"/>
      <c r="I13" s="13"/>
      <c r="J13" s="13"/>
      <c r="K13" s="13"/>
      <c r="L13" s="13"/>
      <c r="N13" s="170" t="s">
        <v>144</v>
      </c>
      <c r="O13" s="171"/>
      <c r="P13" s="172"/>
    </row>
    <row r="14" spans="5:16" x14ac:dyDescent="0.25">
      <c r="E14" s="4" t="s">
        <v>15</v>
      </c>
      <c r="F14" s="11"/>
      <c r="G14" s="11"/>
      <c r="H14" s="13"/>
      <c r="I14" s="13"/>
      <c r="J14" s="13"/>
      <c r="K14" s="13"/>
      <c r="L14" s="13"/>
      <c r="N14" s="35" t="s">
        <v>145</v>
      </c>
      <c r="O14" s="36"/>
      <c r="P14" s="37"/>
    </row>
    <row r="15" spans="5:16" x14ac:dyDescent="0.25">
      <c r="E15" s="4" t="s">
        <v>16</v>
      </c>
      <c r="F15" s="11"/>
      <c r="G15" s="11"/>
      <c r="H15" s="13"/>
      <c r="I15" s="13"/>
      <c r="J15" s="13"/>
      <c r="K15" s="13"/>
      <c r="L15" s="13"/>
      <c r="N15" s="35" t="s">
        <v>146</v>
      </c>
      <c r="O15" s="36"/>
      <c r="P15" s="37"/>
    </row>
    <row r="16" spans="5:16" x14ac:dyDescent="0.25">
      <c r="G16" s="2" t="s">
        <v>19</v>
      </c>
      <c r="H16" s="70">
        <f>SUM(H8:H15)</f>
        <v>0</v>
      </c>
      <c r="I16" s="70">
        <f>SUM(I8:I15)</f>
        <v>0</v>
      </c>
      <c r="J16" s="70">
        <f>SUM(J8:J15)</f>
        <v>0</v>
      </c>
      <c r="K16" s="70">
        <f>SUM(K8:K15)</f>
        <v>0</v>
      </c>
      <c r="L16" s="70">
        <f>SUM(L8:L15)</f>
        <v>0</v>
      </c>
      <c r="N16" s="38"/>
      <c r="O16" s="39"/>
      <c r="P16" s="40"/>
    </row>
    <row r="18" spans="1:13" ht="21" x14ac:dyDescent="0.35">
      <c r="E18" s="168" t="s">
        <v>17</v>
      </c>
      <c r="F18" s="168"/>
      <c r="G18" s="168"/>
      <c r="H18" s="168"/>
      <c r="I18" s="168"/>
      <c r="J18" s="168"/>
      <c r="K18" s="168"/>
      <c r="L18" s="168"/>
      <c r="M18" s="173"/>
    </row>
    <row r="19" spans="1:13" ht="21" x14ac:dyDescent="0.35">
      <c r="E19" s="7"/>
      <c r="F19" s="7"/>
      <c r="G19" s="7"/>
      <c r="H19" s="7"/>
      <c r="I19" s="7"/>
      <c r="J19" s="7"/>
      <c r="K19" s="7"/>
      <c r="L19" s="7"/>
    </row>
    <row r="20" spans="1:13" ht="31.5" x14ac:dyDescent="0.25">
      <c r="E20" s="8" t="s">
        <v>1</v>
      </c>
      <c r="F20" s="8" t="s">
        <v>0</v>
      </c>
      <c r="G20" s="15" t="s">
        <v>132</v>
      </c>
      <c r="H20" s="8" t="s">
        <v>224</v>
      </c>
      <c r="I20" s="8" t="s">
        <v>3</v>
      </c>
      <c r="J20" s="8" t="s">
        <v>226</v>
      </c>
      <c r="K20" s="8" t="s">
        <v>225</v>
      </c>
      <c r="L20" s="8" t="s">
        <v>18</v>
      </c>
      <c r="M20" s="41"/>
    </row>
    <row r="21" spans="1:13" x14ac:dyDescent="0.25">
      <c r="A21" s="64">
        <f>IF(OR(E21="",G21="",H21=""),100000,(E21*1000)+(IF(G21="MKT",0.9,_xlfn.NUMBERVALUE(LEFT(G21,3)))*1000)+IF(RIGHT(G21,2)="LH",100,IF(RIGHT(G21,2)="HH",101,0))+_xlfn.RANK.EQ(H21,$H$21:$H$31,1))</f>
        <v>100000</v>
      </c>
      <c r="B21" s="2" t="str">
        <f>IF(OR(E21="",G21="",H21=""),"",_xlfn.RANK.EQ(A21,$A$21:$A$31,0))</f>
        <v/>
      </c>
      <c r="C21" s="2" t="str" cm="1">
        <f t="array" ref="C21">IF(B21="","",ROUND(SUMPRODUCT((B21&lt;=$B$21:$B$31)/COUNTIF($B$21:$B$31,$B$21:$B$31))-1,))</f>
        <v/>
      </c>
      <c r="E21" s="69"/>
      <c r="F21" s="13"/>
      <c r="G21" s="33"/>
      <c r="H21" s="13"/>
      <c r="I21" s="132">
        <f t="shared" ref="I21:I31" si="0">IF(E21="",0,HLOOKUP(E21,$H$7:$L$16,10,FALSE))</f>
        <v>0</v>
      </c>
      <c r="J21" s="70">
        <f>IF(L21="",H21-I21,MIN(H21,L21)-I21)</f>
        <v>0</v>
      </c>
      <c r="K21" s="71">
        <f>J21*F21*12</f>
        <v>0</v>
      </c>
      <c r="L21" s="13"/>
      <c r="M21" s="34"/>
    </row>
    <row r="22" spans="1:13" x14ac:dyDescent="0.25">
      <c r="A22" s="64">
        <f t="shared" ref="A22:A31" si="1">IF(OR(E22="",G22="",H22=""),100000,(E22*1000)+(IF(G22="MKT",0.9,_xlfn.NUMBERVALUE(LEFT(G22,3)))*1000)+IF(RIGHT(G22,2)="LH",100,IF(RIGHT(G22,2)="HH",101,0))+_xlfn.RANK.EQ(H22,$H$21:$H$31,1))</f>
        <v>100000</v>
      </c>
      <c r="B22" s="2" t="str">
        <f t="shared" ref="B22:B31" si="2">IF(OR(E22="",G22="",H22=""),"",_xlfn.RANK.EQ(A22,$A$21:$A$31,0))</f>
        <v/>
      </c>
      <c r="C22" s="2" t="str" cm="1">
        <f t="array" ref="C22">IF(B22="","",ROUND(SUMPRODUCT((B22&lt;=$B$21:$B$31)/COUNTIF($B$21:$B$31,$B$21:$B$31))-1,))</f>
        <v/>
      </c>
      <c r="E22" s="69"/>
      <c r="F22" s="13"/>
      <c r="G22" s="33"/>
      <c r="H22" s="13"/>
      <c r="I22" s="132">
        <f t="shared" si="0"/>
        <v>0</v>
      </c>
      <c r="J22" s="70">
        <f t="shared" ref="J22:J31" si="3">IF(L22="",H22-I22,MIN(H22,L22)-I22)</f>
        <v>0</v>
      </c>
      <c r="K22" s="71">
        <f t="shared" ref="K22:K31" si="4">J22*F22*12</f>
        <v>0</v>
      </c>
      <c r="L22" s="13"/>
      <c r="M22" s="34"/>
    </row>
    <row r="23" spans="1:13" x14ac:dyDescent="0.25">
      <c r="A23" s="64">
        <f t="shared" si="1"/>
        <v>100000</v>
      </c>
      <c r="B23" s="2" t="str">
        <f t="shared" si="2"/>
        <v/>
      </c>
      <c r="C23" s="2" t="str" cm="1">
        <f t="array" ref="C23">IF(B23="","",ROUND(SUMPRODUCT((B23&lt;=$B$21:$B$31)/COUNTIF($B$21:$B$31,$B$21:$B$31))-1,))</f>
        <v/>
      </c>
      <c r="E23" s="69"/>
      <c r="F23" s="13"/>
      <c r="G23" s="33"/>
      <c r="H23" s="13"/>
      <c r="I23" s="132">
        <f t="shared" si="0"/>
        <v>0</v>
      </c>
      <c r="J23" s="70">
        <f t="shared" si="3"/>
        <v>0</v>
      </c>
      <c r="K23" s="71">
        <f t="shared" si="4"/>
        <v>0</v>
      </c>
      <c r="L23" s="13"/>
      <c r="M23" s="34"/>
    </row>
    <row r="24" spans="1:13" x14ac:dyDescent="0.25">
      <c r="A24" s="64">
        <f t="shared" si="1"/>
        <v>100000</v>
      </c>
      <c r="B24" s="2" t="str">
        <f t="shared" si="2"/>
        <v/>
      </c>
      <c r="C24" s="2" t="str" cm="1">
        <f t="array" ref="C24">IF(B24="","",ROUND(SUMPRODUCT((B24&lt;=$B$21:$B$31)/COUNTIF($B$21:$B$31,$B$21:$B$31))-1,))</f>
        <v/>
      </c>
      <c r="E24" s="69"/>
      <c r="F24" s="13"/>
      <c r="G24" s="33"/>
      <c r="H24" s="13"/>
      <c r="I24" s="132">
        <f t="shared" si="0"/>
        <v>0</v>
      </c>
      <c r="J24" s="70">
        <f t="shared" si="3"/>
        <v>0</v>
      </c>
      <c r="K24" s="71">
        <f t="shared" si="4"/>
        <v>0</v>
      </c>
      <c r="L24" s="13"/>
      <c r="M24" s="34"/>
    </row>
    <row r="25" spans="1:13" x14ac:dyDescent="0.25">
      <c r="A25" s="64">
        <f t="shared" si="1"/>
        <v>100000</v>
      </c>
      <c r="B25" s="2" t="str">
        <f t="shared" si="2"/>
        <v/>
      </c>
      <c r="C25" s="2" t="str" cm="1">
        <f t="array" ref="C25">IF(B25="","",ROUND(SUMPRODUCT((B25&lt;=$B$21:$B$31)/COUNTIF($B$21:$B$31,$B$21:$B$31))-1,))</f>
        <v/>
      </c>
      <c r="E25" s="69"/>
      <c r="F25" s="13"/>
      <c r="G25" s="33"/>
      <c r="H25" s="13"/>
      <c r="I25" s="132">
        <f t="shared" si="0"/>
        <v>0</v>
      </c>
      <c r="J25" s="70">
        <f t="shared" si="3"/>
        <v>0</v>
      </c>
      <c r="K25" s="71">
        <f t="shared" si="4"/>
        <v>0</v>
      </c>
      <c r="L25" s="13"/>
      <c r="M25" s="34"/>
    </row>
    <row r="26" spans="1:13" x14ac:dyDescent="0.25">
      <c r="A26" s="64">
        <f t="shared" si="1"/>
        <v>100000</v>
      </c>
      <c r="B26" s="2" t="str">
        <f t="shared" si="2"/>
        <v/>
      </c>
      <c r="C26" s="2" t="str" cm="1">
        <f t="array" ref="C26">IF(B26="","",ROUND(SUMPRODUCT((B26&lt;=$B$21:$B$31)/COUNTIF($B$21:$B$31,$B$21:$B$31))-1,))</f>
        <v/>
      </c>
      <c r="E26" s="69"/>
      <c r="F26" s="13"/>
      <c r="G26" s="33"/>
      <c r="H26" s="13"/>
      <c r="I26" s="132">
        <f t="shared" si="0"/>
        <v>0</v>
      </c>
      <c r="J26" s="70">
        <f t="shared" si="3"/>
        <v>0</v>
      </c>
      <c r="K26" s="71">
        <f t="shared" si="4"/>
        <v>0</v>
      </c>
      <c r="L26" s="13"/>
      <c r="M26" s="34"/>
    </row>
    <row r="27" spans="1:13" x14ac:dyDescent="0.25">
      <c r="A27" s="64">
        <f t="shared" si="1"/>
        <v>100000</v>
      </c>
      <c r="B27" s="2" t="str">
        <f t="shared" si="2"/>
        <v/>
      </c>
      <c r="C27" s="2" t="str" cm="1">
        <f t="array" ref="C27">IF(B27="","",ROUND(SUMPRODUCT((B27&lt;=$B$21:$B$31)/COUNTIF($B$21:$B$31,$B$21:$B$31))-1,))</f>
        <v/>
      </c>
      <c r="E27" s="69"/>
      <c r="F27" s="13"/>
      <c r="G27" s="33"/>
      <c r="H27" s="13"/>
      <c r="I27" s="132">
        <f t="shared" si="0"/>
        <v>0</v>
      </c>
      <c r="J27" s="70">
        <f t="shared" si="3"/>
        <v>0</v>
      </c>
      <c r="K27" s="71">
        <f t="shared" si="4"/>
        <v>0</v>
      </c>
      <c r="L27" s="13"/>
      <c r="M27" s="34"/>
    </row>
    <row r="28" spans="1:13" x14ac:dyDescent="0.25">
      <c r="A28" s="64">
        <f t="shared" si="1"/>
        <v>100000</v>
      </c>
      <c r="B28" s="2" t="str">
        <f t="shared" si="2"/>
        <v/>
      </c>
      <c r="C28" s="2" t="str" cm="1">
        <f t="array" ref="C28">IF(B28="","",ROUND(SUMPRODUCT((B28&lt;=$B$21:$B$31)/COUNTIF($B$21:$B$31,$B$21:$B$31))-1,))</f>
        <v/>
      </c>
      <c r="E28" s="69"/>
      <c r="F28" s="13"/>
      <c r="G28" s="33"/>
      <c r="H28" s="13"/>
      <c r="I28" s="132">
        <f t="shared" si="0"/>
        <v>0</v>
      </c>
      <c r="J28" s="70">
        <f t="shared" si="3"/>
        <v>0</v>
      </c>
      <c r="K28" s="71">
        <f t="shared" si="4"/>
        <v>0</v>
      </c>
      <c r="L28" s="13"/>
      <c r="M28" s="34"/>
    </row>
    <row r="29" spans="1:13" x14ac:dyDescent="0.25">
      <c r="A29" s="64">
        <f t="shared" si="1"/>
        <v>100000</v>
      </c>
      <c r="B29" s="2" t="str">
        <f t="shared" si="2"/>
        <v/>
      </c>
      <c r="C29" s="2" t="str" cm="1">
        <f t="array" ref="C29">IF(B29="","",ROUND(SUMPRODUCT((B29&lt;=$B$21:$B$31)/COUNTIF($B$21:$B$31,$B$21:$B$31))-1,))</f>
        <v/>
      </c>
      <c r="E29" s="69"/>
      <c r="F29" s="13"/>
      <c r="G29" s="33"/>
      <c r="H29" s="13"/>
      <c r="I29" s="132">
        <f t="shared" si="0"/>
        <v>0</v>
      </c>
      <c r="J29" s="70">
        <f t="shared" si="3"/>
        <v>0</v>
      </c>
      <c r="K29" s="71">
        <f t="shared" si="4"/>
        <v>0</v>
      </c>
      <c r="L29" s="13"/>
      <c r="M29" s="34"/>
    </row>
    <row r="30" spans="1:13" x14ac:dyDescent="0.25">
      <c r="A30" s="64">
        <f t="shared" si="1"/>
        <v>100000</v>
      </c>
      <c r="B30" s="2" t="str">
        <f t="shared" si="2"/>
        <v/>
      </c>
      <c r="C30" s="2" t="str" cm="1">
        <f t="array" ref="C30">IF(B30="","",ROUND(SUMPRODUCT((B30&lt;=$B$21:$B$31)/COUNTIF($B$21:$B$31,$B$21:$B$31))-1,))</f>
        <v/>
      </c>
      <c r="E30" s="69"/>
      <c r="F30" s="13"/>
      <c r="G30" s="33"/>
      <c r="H30" s="13"/>
      <c r="I30" s="132">
        <f t="shared" si="0"/>
        <v>0</v>
      </c>
      <c r="J30" s="70">
        <f t="shared" si="3"/>
        <v>0</v>
      </c>
      <c r="K30" s="71">
        <f t="shared" si="4"/>
        <v>0</v>
      </c>
      <c r="L30" s="13"/>
      <c r="M30" s="34"/>
    </row>
    <row r="31" spans="1:13" x14ac:dyDescent="0.25">
      <c r="A31" s="64">
        <f t="shared" si="1"/>
        <v>100000</v>
      </c>
      <c r="B31" s="2" t="str">
        <f t="shared" si="2"/>
        <v/>
      </c>
      <c r="C31" s="2" t="str" cm="1">
        <f t="array" ref="C31">IF(B31="","",ROUND(SUMPRODUCT((B31&lt;=$B$21:$B$31)/COUNTIF($B$21:$B$31,$B$21:$B$31))-1,))</f>
        <v/>
      </c>
      <c r="E31" s="69"/>
      <c r="F31" s="13"/>
      <c r="G31" s="33"/>
      <c r="H31" s="13"/>
      <c r="I31" s="132">
        <f t="shared" si="0"/>
        <v>0</v>
      </c>
      <c r="J31" s="70">
        <f t="shared" si="3"/>
        <v>0</v>
      </c>
      <c r="K31" s="71">
        <f t="shared" si="4"/>
        <v>0</v>
      </c>
      <c r="L31" s="13"/>
      <c r="M31" s="34"/>
    </row>
    <row r="33" spans="5:12" x14ac:dyDescent="0.25">
      <c r="E33" s="1" t="s">
        <v>24</v>
      </c>
      <c r="F33" s="72">
        <f>SUM(F21:F31)</f>
        <v>0</v>
      </c>
      <c r="H33" s="1"/>
      <c r="I33" s="1"/>
      <c r="J33" s="73">
        <f>SUMPRODUCT(F21:F31,J21:J31)</f>
        <v>0</v>
      </c>
      <c r="K33" s="73">
        <f>SUM(K21:K31)</f>
        <v>0</v>
      </c>
      <c r="L33" s="68"/>
    </row>
    <row r="35" spans="5:12" x14ac:dyDescent="0.25">
      <c r="E35" s="2" t="s">
        <v>20</v>
      </c>
      <c r="F35" s="169" t="s">
        <v>21</v>
      </c>
      <c r="G35" s="169"/>
      <c r="H35" s="169"/>
      <c r="I35" s="169"/>
      <c r="J35" s="13"/>
      <c r="K35" s="70">
        <f>J35*12</f>
        <v>0</v>
      </c>
    </row>
    <row r="36" spans="5:12" x14ac:dyDescent="0.25">
      <c r="F36" s="169"/>
      <c r="G36" s="169"/>
      <c r="H36" s="169"/>
      <c r="I36" s="169"/>
      <c r="J36" s="13"/>
      <c r="K36" s="70">
        <f>J36*12</f>
        <v>0</v>
      </c>
    </row>
    <row r="37" spans="5:12" x14ac:dyDescent="0.25">
      <c r="F37" s="169"/>
      <c r="G37" s="169"/>
      <c r="H37" s="169"/>
      <c r="I37" s="169"/>
      <c r="J37" s="13"/>
      <c r="K37" s="70">
        <f>J37*12</f>
        <v>0</v>
      </c>
    </row>
    <row r="39" spans="5:12" x14ac:dyDescent="0.25">
      <c r="E39" s="2" t="s">
        <v>22</v>
      </c>
      <c r="G39" s="10">
        <v>0.05</v>
      </c>
      <c r="J39" s="71">
        <f>SUM(J33:J37)*G39</f>
        <v>0</v>
      </c>
      <c r="K39" s="70">
        <f>J39*12</f>
        <v>0</v>
      </c>
    </row>
    <row r="41" spans="5:12" x14ac:dyDescent="0.25">
      <c r="E41" s="2" t="s">
        <v>20</v>
      </c>
      <c r="F41" s="169" t="s">
        <v>23</v>
      </c>
      <c r="G41" s="169"/>
      <c r="H41" s="169"/>
      <c r="I41" s="169"/>
      <c r="J41" s="13"/>
      <c r="K41" s="70">
        <f>J41*12</f>
        <v>0</v>
      </c>
    </row>
    <row r="42" spans="5:12" x14ac:dyDescent="0.25">
      <c r="F42" s="169"/>
      <c r="G42" s="169"/>
      <c r="H42" s="169"/>
      <c r="I42" s="169"/>
      <c r="J42" s="13"/>
      <c r="K42" s="70">
        <f>J42*12</f>
        <v>0</v>
      </c>
    </row>
    <row r="43" spans="5:12" x14ac:dyDescent="0.25">
      <c r="F43" s="34"/>
      <c r="G43" s="34"/>
      <c r="H43" s="34"/>
      <c r="I43" s="34"/>
      <c r="J43" s="42"/>
      <c r="K43" s="14"/>
    </row>
    <row r="44" spans="5:12" x14ac:dyDescent="0.25">
      <c r="F44" s="169" t="s">
        <v>147</v>
      </c>
      <c r="G44" s="169"/>
      <c r="H44" s="169"/>
      <c r="I44" s="169"/>
      <c r="J44" s="90"/>
      <c r="K44" s="13"/>
    </row>
    <row r="46" spans="5:12" x14ac:dyDescent="0.25">
      <c r="E46" s="1" t="s">
        <v>25</v>
      </c>
      <c r="J46" s="72">
        <f>SUM(J33:J37)-J39+SUM(J41:J44)</f>
        <v>0</v>
      </c>
      <c r="K46" s="72">
        <f>SUM(K33:K37)-K39+SUM(K41:K44)</f>
        <v>0</v>
      </c>
    </row>
    <row r="48" spans="5:12" ht="21" x14ac:dyDescent="0.35">
      <c r="E48" s="168" t="s">
        <v>26</v>
      </c>
      <c r="F48" s="168"/>
      <c r="G48" s="168"/>
      <c r="H48" s="168"/>
      <c r="I48" s="168"/>
      <c r="J48" s="168"/>
      <c r="K48" s="168"/>
      <c r="L48" s="168"/>
    </row>
    <row r="50" spans="5:16" x14ac:dyDescent="0.25">
      <c r="E50" s="1" t="s">
        <v>27</v>
      </c>
      <c r="J50" s="3" t="s">
        <v>34</v>
      </c>
      <c r="K50" s="3" t="s">
        <v>35</v>
      </c>
      <c r="M50" s="176" t="s">
        <v>278</v>
      </c>
      <c r="N50" s="176"/>
      <c r="O50" s="176"/>
      <c r="P50" s="176"/>
    </row>
    <row r="51" spans="5:16" x14ac:dyDescent="0.25">
      <c r="E51" s="1" t="s">
        <v>28</v>
      </c>
      <c r="G51" s="177" t="str">
        <f>IF(SUM(K33:K37)=0,"",IF(SUM(J51:J52,J55)/(SUM(K33:K37)-K39)&gt;0.14,"Management Costs are too high. Cannot exceed 14% of projected collected rent",""))</f>
        <v/>
      </c>
      <c r="H51" s="177"/>
      <c r="I51" s="178"/>
      <c r="J51" s="13"/>
      <c r="K51" s="70">
        <f>IF($F$33=0,0,J51/$F$33)</f>
        <v>0</v>
      </c>
      <c r="M51" s="169"/>
      <c r="N51" s="169"/>
      <c r="O51" s="169"/>
      <c r="P51" s="13"/>
    </row>
    <row r="52" spans="5:16" x14ac:dyDescent="0.25">
      <c r="E52" s="1" t="s">
        <v>29</v>
      </c>
      <c r="G52" s="177"/>
      <c r="H52" s="177"/>
      <c r="I52" s="178"/>
      <c r="J52" s="13"/>
      <c r="K52" s="70">
        <f>IF($F$33=0,0,J52/$F$33)</f>
        <v>0</v>
      </c>
      <c r="M52" s="169"/>
      <c r="N52" s="169"/>
      <c r="O52" s="169"/>
      <c r="P52" s="13"/>
    </row>
    <row r="53" spans="5:16" x14ac:dyDescent="0.25">
      <c r="E53" s="1" t="s">
        <v>30</v>
      </c>
      <c r="G53" s="177"/>
      <c r="H53" s="177"/>
      <c r="I53" s="178"/>
      <c r="J53" s="13"/>
      <c r="K53" s="70">
        <f>IF($F$33=0,0,J53/$F$33)</f>
        <v>0</v>
      </c>
      <c r="M53" s="169"/>
      <c r="N53" s="169"/>
      <c r="O53" s="169"/>
      <c r="P53" s="13"/>
    </row>
    <row r="54" spans="5:16" x14ac:dyDescent="0.25">
      <c r="E54" s="1" t="s">
        <v>31</v>
      </c>
      <c r="G54" s="177"/>
      <c r="H54" s="177"/>
      <c r="I54" s="178"/>
      <c r="J54" s="13"/>
      <c r="K54" s="70">
        <f>IF($F$33=0,0,J54/$F$33)</f>
        <v>0</v>
      </c>
      <c r="M54" s="169"/>
      <c r="N54" s="169"/>
      <c r="O54" s="169"/>
      <c r="P54" s="13"/>
    </row>
    <row r="55" spans="5:16" x14ac:dyDescent="0.25">
      <c r="E55" s="1" t="s">
        <v>32</v>
      </c>
      <c r="G55" s="177"/>
      <c r="H55" s="177"/>
      <c r="I55" s="178"/>
      <c r="J55" s="121">
        <f>SUM(P51:P56)</f>
        <v>0</v>
      </c>
      <c r="K55" s="70">
        <f>IF($F$33=0,0,J55/$F$33)</f>
        <v>0</v>
      </c>
      <c r="M55" s="169"/>
      <c r="N55" s="169"/>
      <c r="O55" s="169"/>
      <c r="P55" s="13"/>
    </row>
    <row r="56" spans="5:16" x14ac:dyDescent="0.25">
      <c r="E56" s="1" t="s">
        <v>33</v>
      </c>
      <c r="G56" s="177"/>
      <c r="H56" s="177"/>
      <c r="I56" s="178"/>
      <c r="J56" s="70">
        <f>SUM(J51:J55)</f>
        <v>0</v>
      </c>
      <c r="K56" s="70">
        <f>SUM(K51:K55)</f>
        <v>0</v>
      </c>
      <c r="M56" s="169"/>
      <c r="N56" s="169"/>
      <c r="O56" s="169"/>
      <c r="P56" s="13"/>
    </row>
    <row r="57" spans="5:16" x14ac:dyDescent="0.25">
      <c r="J57" s="64"/>
      <c r="K57" s="64"/>
      <c r="M57" s="175"/>
      <c r="N57" s="175"/>
      <c r="O57" s="175"/>
    </row>
    <row r="58" spans="5:16" x14ac:dyDescent="0.25">
      <c r="E58" s="1" t="s">
        <v>36</v>
      </c>
      <c r="J58" s="64"/>
      <c r="K58" s="64"/>
      <c r="M58" s="174" t="s">
        <v>279</v>
      </c>
      <c r="N58" s="175"/>
      <c r="O58" s="175"/>
    </row>
    <row r="59" spans="5:16" x14ac:dyDescent="0.25">
      <c r="E59" s="1" t="s">
        <v>37</v>
      </c>
      <c r="J59" s="13"/>
      <c r="K59" s="70">
        <f>IF($F$33=0,0,J59/$F$33)</f>
        <v>0</v>
      </c>
      <c r="M59" s="169"/>
      <c r="N59" s="169"/>
      <c r="O59" s="169"/>
      <c r="P59" s="13"/>
    </row>
    <row r="60" spans="5:16" x14ac:dyDescent="0.25">
      <c r="E60" s="1" t="s">
        <v>38</v>
      </c>
      <c r="J60" s="13"/>
      <c r="K60" s="70">
        <f>IF($F$33=0,0,J60/$F$33)</f>
        <v>0</v>
      </c>
      <c r="M60" s="169"/>
      <c r="N60" s="169"/>
      <c r="O60" s="169"/>
      <c r="P60" s="13"/>
    </row>
    <row r="61" spans="5:16" x14ac:dyDescent="0.25">
      <c r="E61" s="1" t="s">
        <v>39</v>
      </c>
      <c r="J61" s="13"/>
      <c r="K61" s="70">
        <f>IF($F$33=0,0,J61/$F$33)</f>
        <v>0</v>
      </c>
      <c r="M61" s="169"/>
      <c r="N61" s="169"/>
      <c r="O61" s="169"/>
      <c r="P61" s="13"/>
    </row>
    <row r="62" spans="5:16" x14ac:dyDescent="0.25">
      <c r="E62" s="2" t="s">
        <v>41</v>
      </c>
      <c r="J62" s="121">
        <f>SUM(P59:P63)</f>
        <v>0</v>
      </c>
      <c r="K62" s="70">
        <f>IF($F$33=0,0,J62/$F$33)</f>
        <v>0</v>
      </c>
      <c r="M62" s="169"/>
      <c r="N62" s="169"/>
      <c r="O62" s="169"/>
      <c r="P62" s="13"/>
    </row>
    <row r="63" spans="5:16" x14ac:dyDescent="0.25">
      <c r="E63" s="1" t="s">
        <v>40</v>
      </c>
      <c r="J63" s="70">
        <f>SUM(J59:J62)</f>
        <v>0</v>
      </c>
      <c r="K63" s="70">
        <f>SUM(K59:K62)</f>
        <v>0</v>
      </c>
      <c r="M63" s="169"/>
      <c r="N63" s="169"/>
      <c r="O63" s="169"/>
      <c r="P63" s="13"/>
    </row>
    <row r="64" spans="5:16" x14ac:dyDescent="0.25">
      <c r="J64" s="64"/>
      <c r="K64" s="64"/>
      <c r="M64" s="175"/>
      <c r="N64" s="175"/>
      <c r="O64" s="175"/>
      <c r="P64" s="64"/>
    </row>
    <row r="65" spans="5:16" x14ac:dyDescent="0.25">
      <c r="E65" s="1" t="s">
        <v>42</v>
      </c>
      <c r="J65" s="64"/>
      <c r="K65" s="64"/>
      <c r="M65" s="1" t="s">
        <v>280</v>
      </c>
      <c r="N65" s="1"/>
      <c r="O65" s="1"/>
      <c r="P65" s="1"/>
    </row>
    <row r="66" spans="5:16" x14ac:dyDescent="0.25">
      <c r="E66" s="1" t="s">
        <v>43</v>
      </c>
      <c r="J66" s="13"/>
      <c r="K66" s="70">
        <f t="shared" ref="K66:K73" si="5">IF($F$33=0,0,J66/$F$33)</f>
        <v>0</v>
      </c>
      <c r="M66" s="169"/>
      <c r="N66" s="169"/>
      <c r="O66" s="169"/>
      <c r="P66" s="13"/>
    </row>
    <row r="67" spans="5:16" x14ac:dyDescent="0.25">
      <c r="E67" s="1" t="s">
        <v>44</v>
      </c>
      <c r="J67" s="13"/>
      <c r="K67" s="70">
        <f t="shared" si="5"/>
        <v>0</v>
      </c>
      <c r="M67" s="169"/>
      <c r="N67" s="169"/>
      <c r="O67" s="169"/>
      <c r="P67" s="13"/>
    </row>
    <row r="68" spans="5:16" x14ac:dyDescent="0.25">
      <c r="E68" s="1" t="s">
        <v>45</v>
      </c>
      <c r="J68" s="13"/>
      <c r="K68" s="70">
        <f t="shared" si="5"/>
        <v>0</v>
      </c>
      <c r="M68" s="169"/>
      <c r="N68" s="169"/>
      <c r="O68" s="169"/>
      <c r="P68" s="13"/>
    </row>
    <row r="69" spans="5:16" x14ac:dyDescent="0.25">
      <c r="E69" s="2" t="s">
        <v>46</v>
      </c>
      <c r="J69" s="13"/>
      <c r="K69" s="70">
        <f t="shared" si="5"/>
        <v>0</v>
      </c>
      <c r="M69" s="169"/>
      <c r="N69" s="169"/>
      <c r="O69" s="169"/>
      <c r="P69" s="13"/>
    </row>
    <row r="70" spans="5:16" x14ac:dyDescent="0.25">
      <c r="E70" s="2" t="s">
        <v>47</v>
      </c>
      <c r="J70" s="13"/>
      <c r="K70" s="70">
        <f t="shared" si="5"/>
        <v>0</v>
      </c>
      <c r="M70" s="169"/>
      <c r="N70" s="169"/>
      <c r="O70" s="169"/>
      <c r="P70" s="13"/>
    </row>
    <row r="71" spans="5:16" x14ac:dyDescent="0.25">
      <c r="E71" s="2" t="s">
        <v>48</v>
      </c>
      <c r="J71" s="13"/>
      <c r="K71" s="70">
        <f t="shared" si="5"/>
        <v>0</v>
      </c>
      <c r="M71" s="169"/>
      <c r="N71" s="169"/>
      <c r="O71" s="169"/>
      <c r="P71" s="13"/>
    </row>
    <row r="72" spans="5:16" x14ac:dyDescent="0.25">
      <c r="E72" s="2" t="s">
        <v>49</v>
      </c>
      <c r="J72" s="13"/>
      <c r="K72" s="70">
        <f t="shared" si="5"/>
        <v>0</v>
      </c>
      <c r="M72" s="169"/>
      <c r="N72" s="169"/>
      <c r="O72" s="169"/>
      <c r="P72" s="13"/>
    </row>
    <row r="73" spans="5:16" x14ac:dyDescent="0.25">
      <c r="E73" s="2" t="s">
        <v>50</v>
      </c>
      <c r="J73" s="121">
        <f>SUM(P66:P74)</f>
        <v>0</v>
      </c>
      <c r="K73" s="70">
        <f t="shared" si="5"/>
        <v>0</v>
      </c>
      <c r="M73" s="169"/>
      <c r="N73" s="169"/>
      <c r="O73" s="169"/>
      <c r="P73" s="13"/>
    </row>
    <row r="74" spans="5:16" x14ac:dyDescent="0.25">
      <c r="E74" s="1" t="s">
        <v>51</v>
      </c>
      <c r="J74" s="70">
        <f>SUM(J66:J73)</f>
        <v>0</v>
      </c>
      <c r="K74" s="70">
        <f>SUM(K66:K73)</f>
        <v>0</v>
      </c>
      <c r="M74" s="169"/>
      <c r="N74" s="169"/>
      <c r="O74" s="169"/>
      <c r="P74" s="13"/>
    </row>
    <row r="75" spans="5:16" x14ac:dyDescent="0.25">
      <c r="J75" s="64"/>
      <c r="K75" s="64"/>
      <c r="M75" s="175"/>
      <c r="N75" s="175"/>
      <c r="O75" s="175"/>
    </row>
    <row r="76" spans="5:16" x14ac:dyDescent="0.25">
      <c r="E76" s="1" t="s">
        <v>52</v>
      </c>
      <c r="J76" s="64"/>
      <c r="K76" s="64"/>
      <c r="M76" s="174" t="s">
        <v>281</v>
      </c>
      <c r="N76" s="174"/>
      <c r="O76" s="174"/>
    </row>
    <row r="77" spans="5:16" x14ac:dyDescent="0.25">
      <c r="E77" s="1" t="s">
        <v>53</v>
      </c>
      <c r="J77" s="13"/>
      <c r="K77" s="70">
        <f>IF($F$33=0,0,J77/$F$33)</f>
        <v>0</v>
      </c>
      <c r="M77" s="169"/>
      <c r="N77" s="169"/>
      <c r="O77" s="169"/>
      <c r="P77" s="13"/>
    </row>
    <row r="78" spans="5:16" x14ac:dyDescent="0.25">
      <c r="E78" s="1" t="s">
        <v>54</v>
      </c>
      <c r="J78" s="13"/>
      <c r="K78" s="70">
        <f>IF($F$33=0,0,J78/$F$33)</f>
        <v>0</v>
      </c>
      <c r="M78" s="169"/>
      <c r="N78" s="169"/>
      <c r="O78" s="169"/>
      <c r="P78" s="13"/>
    </row>
    <row r="79" spans="5:16" x14ac:dyDescent="0.25">
      <c r="E79" s="1" t="s">
        <v>55</v>
      </c>
      <c r="J79" s="121">
        <f>SUM(P77:P80)</f>
        <v>0</v>
      </c>
      <c r="K79" s="70">
        <f>IF($F$33=0,0,J79/$F$33)</f>
        <v>0</v>
      </c>
      <c r="M79" s="169"/>
      <c r="N79" s="169"/>
      <c r="O79" s="169"/>
      <c r="P79" s="13"/>
    </row>
    <row r="80" spans="5:16" x14ac:dyDescent="0.25">
      <c r="E80" s="1" t="s">
        <v>56</v>
      </c>
      <c r="J80" s="70">
        <f>SUM(J77:J79)</f>
        <v>0</v>
      </c>
      <c r="K80" s="70">
        <f>SUM(K77:K79)</f>
        <v>0</v>
      </c>
      <c r="M80" s="169"/>
      <c r="N80" s="169"/>
      <c r="O80" s="169"/>
      <c r="P80" s="13"/>
    </row>
    <row r="81" spans="5:11" x14ac:dyDescent="0.25">
      <c r="J81" s="64"/>
      <c r="K81" s="64"/>
    </row>
    <row r="82" spans="5:11" x14ac:dyDescent="0.25">
      <c r="E82" s="1" t="s">
        <v>57</v>
      </c>
      <c r="J82" s="13"/>
      <c r="K82" s="70">
        <f>IF($F$33=0,0,J82/$F$33)</f>
        <v>0</v>
      </c>
    </row>
    <row r="83" spans="5:11" x14ac:dyDescent="0.25">
      <c r="E83" s="1" t="s">
        <v>58</v>
      </c>
      <c r="J83" s="13"/>
      <c r="K83" s="70">
        <f>IF($F$33=0,0,J83/$F$33)</f>
        <v>0</v>
      </c>
    </row>
    <row r="84" spans="5:11" x14ac:dyDescent="0.25">
      <c r="J84" s="64"/>
      <c r="K84" s="64"/>
    </row>
    <row r="85" spans="5:11" x14ac:dyDescent="0.25">
      <c r="E85" s="1" t="s">
        <v>59</v>
      </c>
      <c r="J85" s="70">
        <f>SUM(J56,J63,J74,J80,J82:J83)</f>
        <v>0</v>
      </c>
      <c r="K85" s="70">
        <f>SUM(K56,K63,K74,K80,K82:K83)</f>
        <v>0</v>
      </c>
    </row>
  </sheetData>
  <sheetProtection algorithmName="SHA-512" hashValue="vbVk6oI//Q+dzcgKe82P/1m24wpDbADqx4l8P18rrZjoNrI2ULmv7tT3kVZW+PDJwjYzv5rftqMC0eOlRnnmeA==" saltValue="+1VsOT0ZJT81R5BuSD9pPw==" spinCount="100000" sheet="1" objects="1" scenarios="1"/>
  <mergeCells count="42">
    <mergeCell ref="M50:P50"/>
    <mergeCell ref="G51:I56"/>
    <mergeCell ref="M76:O76"/>
    <mergeCell ref="M77:O77"/>
    <mergeCell ref="M78:O78"/>
    <mergeCell ref="M66:O66"/>
    <mergeCell ref="M67:O67"/>
    <mergeCell ref="M68:O68"/>
    <mergeCell ref="M69:O69"/>
    <mergeCell ref="M70:O70"/>
    <mergeCell ref="M61:O61"/>
    <mergeCell ref="M62:O62"/>
    <mergeCell ref="M63:O63"/>
    <mergeCell ref="M64:O64"/>
    <mergeCell ref="M56:O56"/>
    <mergeCell ref="M57:O57"/>
    <mergeCell ref="M79:O79"/>
    <mergeCell ref="M80:O80"/>
    <mergeCell ref="M71:O71"/>
    <mergeCell ref="M72:O72"/>
    <mergeCell ref="M73:O73"/>
    <mergeCell ref="M74:O74"/>
    <mergeCell ref="M75:O75"/>
    <mergeCell ref="M58:O58"/>
    <mergeCell ref="M59:O59"/>
    <mergeCell ref="M60:O60"/>
    <mergeCell ref="M51:O51"/>
    <mergeCell ref="M52:O52"/>
    <mergeCell ref="M53:O53"/>
    <mergeCell ref="M54:O54"/>
    <mergeCell ref="M55:O55"/>
    <mergeCell ref="H6:L6"/>
    <mergeCell ref="E2:L2"/>
    <mergeCell ref="F37:I37"/>
    <mergeCell ref="N13:P13"/>
    <mergeCell ref="E48:L48"/>
    <mergeCell ref="E18:M18"/>
    <mergeCell ref="F41:I41"/>
    <mergeCell ref="F42:I42"/>
    <mergeCell ref="F44:I44"/>
    <mergeCell ref="F35:I35"/>
    <mergeCell ref="F36:I36"/>
  </mergeCells>
  <dataValidations count="5">
    <dataValidation type="list" allowBlank="1" showInputMessage="1" showErrorMessage="1" sqref="F8:F15" xr:uid="{287ED491-957C-472A-A7AD-FD9F1C2EBA06}">
      <formula1>"Owner, Tenant"</formula1>
    </dataValidation>
    <dataValidation type="list" allowBlank="1" showInputMessage="1" showErrorMessage="1" sqref="E21:E31" xr:uid="{3B8B860C-483E-4AF0-8A4B-16F7997EF07D}">
      <formula1>INDIRECT("BRSize[Bedroom]")</formula1>
    </dataValidation>
    <dataValidation type="list" allowBlank="1" showInputMessage="1" showErrorMessage="1" sqref="M21:M31" xr:uid="{F2E44AD6-54AA-4889-9B52-0025013798C7}">
      <formula1>"Yes, No"</formula1>
    </dataValidation>
    <dataValidation type="list" errorStyle="information" allowBlank="1" showInputMessage="1" showErrorMessage="1" sqref="G21:G31" xr:uid="{74B2CB4C-DFC2-46C2-9C7B-2FE3BC468E8F}">
      <formula1>INDIRECT("AMI[AMI]")</formula1>
    </dataValidation>
    <dataValidation type="list" allowBlank="1" showInputMessage="1" showErrorMessage="1" sqref="G8:G15" xr:uid="{801E8508-DE8D-4D7A-B6EF-32FB32F4FEF6}">
      <formula1>INDIRECT("UtilityType[Utility Type]")</formula1>
    </dataValidation>
  </dataValidations>
  <hyperlinks>
    <hyperlink ref="N14" r:id="rId1" xr:uid="{9F7339F7-A697-482A-BF83-CD4A6A94D5A0}"/>
    <hyperlink ref="N15" r:id="rId2" xr:uid="{432FB10D-2AFD-43D1-B9C3-FFD0BA534CFB}"/>
  </hyperlinks>
  <pageMargins left="0.7" right="0.7" top="0.75" bottom="0.75" header="0.3" footer="0.3"/>
  <pageSetup scale="54" orientation="portrait" r:id="rId3"/>
  <rowBreaks count="1" manualBreakCount="1">
    <brk id="47" max="16383" man="1"/>
  </rowBreaks>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15472-9721-44F2-B08E-5EB64DE18612}">
  <sheetPr codeName="Sheet2"/>
  <dimension ref="B2:O57"/>
  <sheetViews>
    <sheetView zoomScaleNormal="100" workbookViewId="0">
      <selection activeCell="H7" sqref="H7"/>
    </sheetView>
  </sheetViews>
  <sheetFormatPr defaultColWidth="9.140625" defaultRowHeight="15.75" x14ac:dyDescent="0.25"/>
  <cols>
    <col min="1" max="1" width="9.140625" style="2"/>
    <col min="2" max="2" width="3.7109375" style="2" customWidth="1"/>
    <col min="3" max="3" width="9.140625" style="2"/>
    <col min="4" max="4" width="36.28515625" style="2" customWidth="1"/>
    <col min="5" max="6" width="15.7109375" style="2" bestFit="1" customWidth="1"/>
    <col min="7" max="7" width="9.140625" style="2"/>
    <col min="8" max="8" width="14.42578125" style="2" bestFit="1" customWidth="1"/>
    <col min="9" max="10" width="9.140625" style="2"/>
    <col min="11" max="11" width="12.7109375" style="2" bestFit="1" customWidth="1"/>
    <col min="12" max="12" width="13.28515625" style="2" bestFit="1" customWidth="1"/>
    <col min="13" max="13" width="14.5703125" style="2" bestFit="1" customWidth="1"/>
    <col min="14" max="16384" width="9.140625" style="2"/>
  </cols>
  <sheetData>
    <row r="2" spans="2:10" ht="21" x14ac:dyDescent="0.35">
      <c r="B2" s="168" t="s">
        <v>77</v>
      </c>
      <c r="C2" s="168"/>
      <c r="D2" s="168"/>
      <c r="E2" s="168"/>
      <c r="F2" s="168"/>
      <c r="G2" s="168"/>
      <c r="H2" s="168"/>
      <c r="I2" s="168"/>
    </row>
    <row r="4" spans="2:10" x14ac:dyDescent="0.25">
      <c r="E4" s="3" t="s">
        <v>78</v>
      </c>
      <c r="F4" s="3" t="s">
        <v>79</v>
      </c>
      <c r="H4" s="3" t="s">
        <v>121</v>
      </c>
    </row>
    <row r="6" spans="2:10" x14ac:dyDescent="0.25">
      <c r="B6" s="1" t="s">
        <v>81</v>
      </c>
    </row>
    <row r="7" spans="2:10" x14ac:dyDescent="0.25">
      <c r="C7" s="2" t="s">
        <v>272</v>
      </c>
      <c r="E7" s="13"/>
      <c r="F7" s="13"/>
      <c r="G7" s="64"/>
      <c r="H7" s="13"/>
    </row>
    <row r="8" spans="2:10" x14ac:dyDescent="0.25">
      <c r="C8" s="2" t="s">
        <v>74</v>
      </c>
      <c r="E8" s="13"/>
      <c r="F8" s="13"/>
      <c r="G8" s="64"/>
      <c r="H8" s="13"/>
    </row>
    <row r="9" spans="2:10" x14ac:dyDescent="0.25">
      <c r="C9" s="2" t="s">
        <v>82</v>
      </c>
      <c r="E9" s="13"/>
      <c r="F9" s="13"/>
      <c r="G9" s="64"/>
      <c r="H9" s="13"/>
    </row>
    <row r="10" spans="2:10" x14ac:dyDescent="0.25">
      <c r="C10" s="2" t="s">
        <v>83</v>
      </c>
      <c r="E10" s="13"/>
      <c r="F10" s="13"/>
      <c r="G10" s="64"/>
      <c r="H10" s="13"/>
    </row>
    <row r="11" spans="2:10" x14ac:dyDescent="0.25">
      <c r="C11" s="2" t="s">
        <v>277</v>
      </c>
      <c r="E11" s="13"/>
      <c r="F11" s="13"/>
      <c r="G11" s="64"/>
      <c r="H11" s="13"/>
    </row>
    <row r="12" spans="2:10" x14ac:dyDescent="0.25">
      <c r="B12" s="1" t="s">
        <v>85</v>
      </c>
      <c r="E12" s="70">
        <f>SUM(E7:E11)</f>
        <v>0</v>
      </c>
      <c r="F12" s="70">
        <f>SUM(F7:F11)</f>
        <v>0</v>
      </c>
      <c r="G12" s="64"/>
      <c r="H12" s="70">
        <f>SUM(H7:H11)</f>
        <v>0</v>
      </c>
    </row>
    <row r="13" spans="2:10" x14ac:dyDescent="0.25">
      <c r="C13" s="2" t="s">
        <v>84</v>
      </c>
      <c r="E13" s="13"/>
      <c r="F13" s="13"/>
      <c r="G13" s="64"/>
      <c r="H13" s="13"/>
    </row>
    <row r="14" spans="2:10" x14ac:dyDescent="0.25">
      <c r="B14" s="1" t="s">
        <v>86</v>
      </c>
      <c r="E14" s="70">
        <f>SUM(E12:E13)</f>
        <v>0</v>
      </c>
      <c r="F14" s="70">
        <f>SUM(F12:F13)</f>
        <v>0</v>
      </c>
      <c r="G14" s="64"/>
      <c r="H14" s="70">
        <f>SUM(H12:H13)</f>
        <v>0</v>
      </c>
    </row>
    <row r="15" spans="2:10" x14ac:dyDescent="0.25">
      <c r="E15" s="64"/>
      <c r="F15" s="64"/>
      <c r="G15" s="64"/>
      <c r="H15" s="64"/>
    </row>
    <row r="16" spans="2:10" x14ac:dyDescent="0.25">
      <c r="B16" s="1" t="s">
        <v>88</v>
      </c>
      <c r="E16" s="64"/>
      <c r="F16" s="64"/>
      <c r="G16" s="64"/>
      <c r="H16" s="64"/>
      <c r="J16" s="1" t="s">
        <v>362</v>
      </c>
    </row>
    <row r="17" spans="2:15" x14ac:dyDescent="0.25">
      <c r="C17" s="2" t="s">
        <v>148</v>
      </c>
      <c r="E17" s="13"/>
      <c r="F17" s="13"/>
      <c r="G17" s="64"/>
      <c r="H17" s="13"/>
      <c r="J17" s="169"/>
      <c r="K17" s="169"/>
      <c r="L17" s="169"/>
      <c r="M17" s="169"/>
      <c r="N17" s="179"/>
      <c r="O17" s="179"/>
    </row>
    <row r="18" spans="2:15" x14ac:dyDescent="0.25">
      <c r="C18" s="2" t="s">
        <v>89</v>
      </c>
      <c r="E18" s="13"/>
      <c r="F18" s="13"/>
      <c r="G18" s="64"/>
      <c r="H18" s="13"/>
      <c r="J18" s="169"/>
      <c r="K18" s="169"/>
      <c r="L18" s="169"/>
      <c r="M18" s="169"/>
      <c r="N18" s="179"/>
      <c r="O18" s="179"/>
    </row>
    <row r="19" spans="2:15" x14ac:dyDescent="0.25">
      <c r="C19" s="2" t="s">
        <v>90</v>
      </c>
      <c r="E19" s="13"/>
      <c r="F19" s="13"/>
      <c r="G19" s="64"/>
      <c r="H19" s="13"/>
      <c r="J19" s="169"/>
      <c r="K19" s="169"/>
      <c r="L19" s="169"/>
      <c r="M19" s="169"/>
      <c r="N19" s="179"/>
      <c r="O19" s="179"/>
    </row>
    <row r="20" spans="2:15" x14ac:dyDescent="0.25">
      <c r="C20" s="2" t="s">
        <v>75</v>
      </c>
      <c r="E20" s="13"/>
      <c r="F20" s="13"/>
      <c r="G20" s="64"/>
      <c r="H20" s="13"/>
      <c r="J20" s="169"/>
      <c r="K20" s="169"/>
      <c r="L20" s="169"/>
      <c r="M20" s="169"/>
      <c r="N20" s="179"/>
      <c r="O20" s="179"/>
    </row>
    <row r="21" spans="2:15" x14ac:dyDescent="0.25">
      <c r="C21" s="2" t="s">
        <v>91</v>
      </c>
      <c r="E21" s="13"/>
      <c r="F21" s="13"/>
      <c r="G21" s="64"/>
      <c r="H21" s="13"/>
      <c r="J21" s="169"/>
      <c r="K21" s="169"/>
      <c r="L21" s="169"/>
      <c r="M21" s="169"/>
      <c r="N21" s="179"/>
      <c r="O21" s="179"/>
    </row>
    <row r="22" spans="2:15" x14ac:dyDescent="0.25">
      <c r="C22" s="2" t="s">
        <v>92</v>
      </c>
      <c r="E22" s="13"/>
      <c r="F22" s="13"/>
      <c r="G22" s="64"/>
      <c r="H22" s="13"/>
      <c r="J22" s="169"/>
      <c r="K22" s="169"/>
      <c r="L22" s="169"/>
      <c r="M22" s="169"/>
      <c r="N22" s="179"/>
      <c r="O22" s="179"/>
    </row>
    <row r="23" spans="2:15" x14ac:dyDescent="0.25">
      <c r="C23" s="2" t="s">
        <v>93</v>
      </c>
      <c r="E23" s="13"/>
      <c r="F23" s="13"/>
      <c r="G23" s="64"/>
      <c r="H23" s="13"/>
      <c r="J23" s="169"/>
      <c r="K23" s="169"/>
      <c r="L23" s="169"/>
      <c r="M23" s="169"/>
      <c r="N23" s="179"/>
      <c r="O23" s="179"/>
    </row>
    <row r="24" spans="2:15" x14ac:dyDescent="0.25">
      <c r="C24" s="2" t="s">
        <v>94</v>
      </c>
      <c r="E24" s="121">
        <f>N25-F24</f>
        <v>0</v>
      </c>
      <c r="F24" s="13"/>
      <c r="G24" s="64"/>
      <c r="H24" s="13"/>
      <c r="J24" s="169"/>
      <c r="K24" s="169"/>
      <c r="L24" s="169"/>
      <c r="M24" s="169"/>
      <c r="N24" s="179"/>
      <c r="O24" s="179"/>
    </row>
    <row r="25" spans="2:15" x14ac:dyDescent="0.25">
      <c r="B25" s="1" t="s">
        <v>95</v>
      </c>
      <c r="E25" s="70">
        <f>SUM(E17:E24)</f>
        <v>0</v>
      </c>
      <c r="F25" s="70">
        <f>SUM(F17:F24)</f>
        <v>0</v>
      </c>
      <c r="G25" s="64"/>
      <c r="H25" s="70">
        <f>SUM(H17:H24)</f>
        <v>0</v>
      </c>
      <c r="N25" s="180">
        <f>SUM(N17:N24)</f>
        <v>0</v>
      </c>
      <c r="O25" s="180">
        <f t="shared" ref="O25" si="0">SUM(O17:O24)</f>
        <v>0</v>
      </c>
    </row>
    <row r="26" spans="2:15" x14ac:dyDescent="0.25">
      <c r="E26" s="64"/>
      <c r="F26" s="64"/>
      <c r="G26" s="64"/>
      <c r="H26" s="64"/>
    </row>
    <row r="27" spans="2:15" x14ac:dyDescent="0.25">
      <c r="B27" s="1" t="s">
        <v>96</v>
      </c>
      <c r="E27" s="82"/>
      <c r="F27" s="82"/>
      <c r="G27" s="64"/>
      <c r="H27" s="82"/>
      <c r="J27" s="1" t="s">
        <v>363</v>
      </c>
    </row>
    <row r="28" spans="2:15" x14ac:dyDescent="0.25">
      <c r="C28" s="2" t="s">
        <v>97</v>
      </c>
      <c r="E28" s="13"/>
      <c r="F28" s="13"/>
      <c r="G28" s="64"/>
      <c r="H28" s="13"/>
      <c r="J28" s="169"/>
      <c r="K28" s="169"/>
      <c r="L28" s="169"/>
      <c r="M28" s="169"/>
      <c r="N28" s="179"/>
      <c r="O28" s="179"/>
    </row>
    <row r="29" spans="2:15" x14ac:dyDescent="0.25">
      <c r="C29" s="2" t="s">
        <v>98</v>
      </c>
      <c r="E29" s="13"/>
      <c r="F29" s="13"/>
      <c r="G29" s="64"/>
      <c r="H29" s="13"/>
      <c r="J29" s="169"/>
      <c r="K29" s="169"/>
      <c r="L29" s="169"/>
      <c r="M29" s="169"/>
      <c r="N29" s="179"/>
      <c r="O29" s="179"/>
    </row>
    <row r="30" spans="2:15" x14ac:dyDescent="0.25">
      <c r="C30" s="2" t="s">
        <v>99</v>
      </c>
      <c r="E30" s="13"/>
      <c r="F30" s="13"/>
      <c r="G30" s="64"/>
      <c r="H30" s="13"/>
      <c r="J30" s="169"/>
      <c r="K30" s="169"/>
      <c r="L30" s="169"/>
      <c r="M30" s="169"/>
      <c r="N30" s="179"/>
      <c r="O30" s="179"/>
    </row>
    <row r="31" spans="2:15" x14ac:dyDescent="0.25">
      <c r="C31" s="2" t="s">
        <v>100</v>
      </c>
      <c r="E31" s="121">
        <f>N32-F31</f>
        <v>0</v>
      </c>
      <c r="F31" s="13"/>
      <c r="G31" s="64"/>
      <c r="H31" s="13"/>
      <c r="J31" s="169"/>
      <c r="K31" s="169"/>
      <c r="L31" s="169"/>
      <c r="M31" s="169"/>
      <c r="N31" s="179"/>
      <c r="O31" s="179"/>
    </row>
    <row r="32" spans="2:15" x14ac:dyDescent="0.25">
      <c r="B32" s="1" t="s">
        <v>101</v>
      </c>
      <c r="E32" s="70">
        <f>SUM(E28:E31)</f>
        <v>0</v>
      </c>
      <c r="F32" s="70">
        <f>SUM(F28:F31)</f>
        <v>0</v>
      </c>
      <c r="G32" s="64"/>
      <c r="H32" s="70">
        <f>SUM(H28:H31)</f>
        <v>0</v>
      </c>
      <c r="N32" s="180">
        <f>SUM(N28:N31)</f>
        <v>0</v>
      </c>
      <c r="O32" s="180">
        <f t="shared" ref="O32" si="1">SUM(O24:O31)</f>
        <v>0</v>
      </c>
    </row>
    <row r="33" spans="2:15" x14ac:dyDescent="0.25">
      <c r="E33" s="64"/>
      <c r="F33" s="64"/>
      <c r="G33" s="64"/>
      <c r="H33" s="64"/>
    </row>
    <row r="34" spans="2:15" x14ac:dyDescent="0.25">
      <c r="B34" s="1" t="s">
        <v>102</v>
      </c>
      <c r="E34" s="64"/>
      <c r="F34" s="64"/>
      <c r="G34" s="64"/>
      <c r="H34" s="64"/>
      <c r="J34" s="1" t="s">
        <v>364</v>
      </c>
    </row>
    <row r="35" spans="2:15" x14ac:dyDescent="0.25">
      <c r="C35" s="2" t="s">
        <v>103</v>
      </c>
      <c r="E35" s="13"/>
      <c r="F35" s="13"/>
      <c r="G35" s="64"/>
      <c r="H35" s="13"/>
      <c r="J35" s="169"/>
      <c r="K35" s="169"/>
      <c r="L35" s="169"/>
      <c r="M35" s="169"/>
      <c r="N35" s="179"/>
      <c r="O35" s="179"/>
    </row>
    <row r="36" spans="2:15" x14ac:dyDescent="0.25">
      <c r="C36" s="2" t="s">
        <v>104</v>
      </c>
      <c r="E36" s="13"/>
      <c r="F36" s="13"/>
      <c r="G36" s="64"/>
      <c r="H36" s="13"/>
      <c r="J36" s="169"/>
      <c r="K36" s="169"/>
      <c r="L36" s="169"/>
      <c r="M36" s="169"/>
      <c r="N36" s="179"/>
      <c r="O36" s="179"/>
    </row>
    <row r="37" spans="2:15" x14ac:dyDescent="0.25">
      <c r="C37" s="2" t="s">
        <v>105</v>
      </c>
      <c r="E37" s="13"/>
      <c r="F37" s="13"/>
      <c r="G37" s="64"/>
      <c r="H37" s="13"/>
      <c r="J37" s="169"/>
      <c r="K37" s="169"/>
      <c r="L37" s="169"/>
      <c r="M37" s="169"/>
      <c r="N37" s="179"/>
      <c r="O37" s="179"/>
    </row>
    <row r="38" spans="2:15" x14ac:dyDescent="0.25">
      <c r="C38" s="2" t="s">
        <v>149</v>
      </c>
      <c r="E38" s="13"/>
      <c r="F38" s="13"/>
      <c r="G38" s="64"/>
      <c r="H38" s="13"/>
      <c r="J38" s="169"/>
      <c r="K38" s="169"/>
      <c r="L38" s="169"/>
      <c r="M38" s="169"/>
      <c r="N38" s="179"/>
      <c r="O38" s="179"/>
    </row>
    <row r="39" spans="2:15" x14ac:dyDescent="0.25">
      <c r="C39" s="2" t="s">
        <v>143</v>
      </c>
      <c r="E39" s="13"/>
      <c r="F39" s="13"/>
      <c r="G39" s="64"/>
      <c r="H39" s="13"/>
      <c r="J39" s="169"/>
      <c r="K39" s="169"/>
      <c r="L39" s="169"/>
      <c r="M39" s="169"/>
      <c r="N39" s="179"/>
      <c r="O39" s="179"/>
    </row>
    <row r="40" spans="2:15" x14ac:dyDescent="0.25">
      <c r="C40" s="2" t="s">
        <v>106</v>
      </c>
      <c r="E40" s="121">
        <f>N41-F40</f>
        <v>0</v>
      </c>
      <c r="F40" s="13"/>
      <c r="G40" s="64"/>
      <c r="H40" s="13"/>
      <c r="J40" s="169"/>
      <c r="K40" s="169"/>
      <c r="L40" s="169"/>
      <c r="M40" s="169"/>
      <c r="N40" s="179"/>
      <c r="O40" s="179"/>
    </row>
    <row r="41" spans="2:15" x14ac:dyDescent="0.25">
      <c r="B41" s="1" t="s">
        <v>107</v>
      </c>
      <c r="E41" s="70">
        <f>SUM(E35:E40)</f>
        <v>0</v>
      </c>
      <c r="F41" s="70">
        <f>SUM(F35:F40)</f>
        <v>0</v>
      </c>
      <c r="G41" s="64"/>
      <c r="H41" s="70">
        <f>SUM(H35:H40)</f>
        <v>0</v>
      </c>
      <c r="N41" s="180">
        <f>SUM(N35:N40)</f>
        <v>0</v>
      </c>
      <c r="O41" s="180">
        <f t="shared" ref="O41" si="2">SUM(O33:O40)</f>
        <v>0</v>
      </c>
    </row>
    <row r="42" spans="2:15" x14ac:dyDescent="0.25">
      <c r="B42" s="1"/>
      <c r="E42" s="60"/>
      <c r="F42" s="60"/>
      <c r="G42" s="64"/>
      <c r="H42" s="60"/>
    </row>
    <row r="43" spans="2:15" x14ac:dyDescent="0.25">
      <c r="B43" s="1" t="s">
        <v>72</v>
      </c>
      <c r="E43" s="64"/>
      <c r="F43" s="64"/>
      <c r="G43" s="64"/>
      <c r="H43" s="64"/>
      <c r="J43" s="1" t="s">
        <v>363</v>
      </c>
    </row>
    <row r="44" spans="2:15" x14ac:dyDescent="0.25">
      <c r="C44" s="2" t="s">
        <v>73</v>
      </c>
      <c r="E44" s="13"/>
      <c r="F44" s="13"/>
      <c r="G44" s="64"/>
      <c r="H44" s="13"/>
      <c r="J44" s="169"/>
      <c r="K44" s="169"/>
      <c r="L44" s="169"/>
      <c r="M44" s="169"/>
      <c r="N44" s="179"/>
      <c r="O44" s="179"/>
    </row>
    <row r="45" spans="2:15" x14ac:dyDescent="0.25">
      <c r="C45" s="2" t="s">
        <v>74</v>
      </c>
      <c r="E45" s="13"/>
      <c r="F45" s="13"/>
      <c r="G45" s="64"/>
      <c r="H45" s="13"/>
      <c r="J45" s="169"/>
      <c r="K45" s="169"/>
      <c r="L45" s="169"/>
      <c r="M45" s="169"/>
      <c r="N45" s="179"/>
      <c r="O45" s="179"/>
    </row>
    <row r="46" spans="2:15" x14ac:dyDescent="0.25">
      <c r="C46" s="2" t="s">
        <v>75</v>
      </c>
      <c r="E46" s="13"/>
      <c r="F46" s="13"/>
      <c r="G46" s="64"/>
      <c r="H46" s="13"/>
      <c r="J46" s="169"/>
      <c r="K46" s="169"/>
      <c r="L46" s="169"/>
      <c r="M46" s="169"/>
      <c r="N46" s="179"/>
      <c r="O46" s="179"/>
    </row>
    <row r="47" spans="2:15" x14ac:dyDescent="0.25">
      <c r="C47" s="2" t="s">
        <v>76</v>
      </c>
      <c r="E47" s="121">
        <f>N48-F47</f>
        <v>0</v>
      </c>
      <c r="F47" s="13"/>
      <c r="G47" s="64"/>
      <c r="H47" s="13"/>
      <c r="J47" s="169"/>
      <c r="K47" s="169"/>
      <c r="L47" s="169"/>
      <c r="M47" s="169"/>
      <c r="N47" s="179"/>
      <c r="O47" s="179"/>
    </row>
    <row r="48" spans="2:15" x14ac:dyDescent="0.25">
      <c r="B48" s="1" t="s">
        <v>80</v>
      </c>
      <c r="E48" s="70">
        <f>SUM(E44:E47)</f>
        <v>0</v>
      </c>
      <c r="F48" s="70">
        <f>SUM(F44:F47)</f>
        <v>0</v>
      </c>
      <c r="G48" s="64"/>
      <c r="H48" s="70">
        <f>SUM(H44:H47)</f>
        <v>0</v>
      </c>
      <c r="N48" s="180">
        <f>SUM(N44:N47)</f>
        <v>0</v>
      </c>
      <c r="O48" s="180">
        <f t="shared" ref="O48" si="3">SUM(O40:O47)</f>
        <v>0</v>
      </c>
    </row>
    <row r="49" spans="2:8" x14ac:dyDescent="0.25">
      <c r="E49" s="64"/>
      <c r="F49" s="64"/>
      <c r="G49" s="64"/>
      <c r="H49" s="64"/>
    </row>
    <row r="50" spans="2:8" x14ac:dyDescent="0.25">
      <c r="B50" s="1" t="s">
        <v>108</v>
      </c>
      <c r="E50" s="64"/>
      <c r="F50" s="64"/>
      <c r="G50" s="64"/>
      <c r="H50" s="64"/>
    </row>
    <row r="51" spans="2:8" x14ac:dyDescent="0.25">
      <c r="C51" s="2" t="s">
        <v>109</v>
      </c>
      <c r="E51" s="13">
        <f>ROUND(SUM('Operating Budget'!J77/2,'Operating Budget'!J78/12*14),)</f>
        <v>0</v>
      </c>
      <c r="F51" s="13"/>
      <c r="G51" s="64"/>
      <c r="H51" s="13"/>
    </row>
    <row r="52" spans="2:8" x14ac:dyDescent="0.25">
      <c r="C52" s="2" t="s">
        <v>110</v>
      </c>
      <c r="E52" s="13">
        <f>ROUND((E12-E7+E45)*0.01,)</f>
        <v>0</v>
      </c>
      <c r="F52" s="13"/>
      <c r="G52" s="64"/>
      <c r="H52" s="13"/>
    </row>
    <row r="53" spans="2:8" x14ac:dyDescent="0.25">
      <c r="C53" s="2" t="s">
        <v>111</v>
      </c>
      <c r="E53" s="13"/>
      <c r="F53" s="13"/>
      <c r="G53" s="64"/>
      <c r="H53" s="13"/>
    </row>
    <row r="54" spans="2:8" x14ac:dyDescent="0.25">
      <c r="C54" s="2" t="s">
        <v>142</v>
      </c>
      <c r="E54" s="13"/>
      <c r="F54" s="13"/>
      <c r="G54" s="64"/>
      <c r="H54" s="13"/>
    </row>
    <row r="55" spans="2:8" x14ac:dyDescent="0.25">
      <c r="E55" s="70">
        <f>SUM(E51:E54)</f>
        <v>0</v>
      </c>
      <c r="F55" s="70">
        <f>SUM(F51:F54)</f>
        <v>0</v>
      </c>
      <c r="G55" s="64"/>
      <c r="H55" s="70">
        <f>SUM(H51:H54)</f>
        <v>0</v>
      </c>
    </row>
    <row r="56" spans="2:8" x14ac:dyDescent="0.25">
      <c r="E56" s="64"/>
      <c r="F56" s="64"/>
      <c r="G56" s="64"/>
      <c r="H56" s="64"/>
    </row>
    <row r="57" spans="2:8" x14ac:dyDescent="0.25">
      <c r="B57" s="1" t="s">
        <v>112</v>
      </c>
      <c r="E57" s="72">
        <f>SUM(E48,E14,E25,E32,E41,E55)</f>
        <v>0</v>
      </c>
      <c r="F57" s="72">
        <f>SUM(F48,F14,F25,F32,F41,F55)</f>
        <v>0</v>
      </c>
      <c r="G57" s="64"/>
      <c r="H57" s="72">
        <f>SUM(H48,H14,H25,H32,H41,H55)</f>
        <v>0</v>
      </c>
    </row>
  </sheetData>
  <sheetProtection algorithmName="SHA-512" hashValue="SkCsdSnKU6pW7ww+PTsq4P7ps0qM8Qk9PS1JUcB8kuLSJLGNwBNYjLVoqmFTij/Poay6/JcCMKl8MYloIYM6yg==" saltValue="a5v94s3Nuoms+X2B+rbZuA==" spinCount="100000" sheet="1" objects="1" scenarios="1"/>
  <mergeCells count="49">
    <mergeCell ref="B2:I2"/>
    <mergeCell ref="J17:M17"/>
    <mergeCell ref="N17:O17"/>
    <mergeCell ref="J18:M18"/>
    <mergeCell ref="N18:O18"/>
    <mergeCell ref="J19:M19"/>
    <mergeCell ref="N19:O19"/>
    <mergeCell ref="J20:M20"/>
    <mergeCell ref="N20:O20"/>
    <mergeCell ref="J21:M21"/>
    <mergeCell ref="N21:O21"/>
    <mergeCell ref="J22:M22"/>
    <mergeCell ref="N22:O22"/>
    <mergeCell ref="J23:M23"/>
    <mergeCell ref="N23:O23"/>
    <mergeCell ref="J24:M24"/>
    <mergeCell ref="N24:O24"/>
    <mergeCell ref="N25:O25"/>
    <mergeCell ref="J28:M28"/>
    <mergeCell ref="N28:O28"/>
    <mergeCell ref="J29:M29"/>
    <mergeCell ref="N29:O29"/>
    <mergeCell ref="J30:M30"/>
    <mergeCell ref="N30:O30"/>
    <mergeCell ref="J31:M31"/>
    <mergeCell ref="N31:O31"/>
    <mergeCell ref="N32:O32"/>
    <mergeCell ref="J35:M35"/>
    <mergeCell ref="N35:O35"/>
    <mergeCell ref="J36:M36"/>
    <mergeCell ref="N36:O36"/>
    <mergeCell ref="J37:M37"/>
    <mergeCell ref="N37:O37"/>
    <mergeCell ref="J38:M38"/>
    <mergeCell ref="N38:O38"/>
    <mergeCell ref="J39:M39"/>
    <mergeCell ref="N39:O39"/>
    <mergeCell ref="J40:M40"/>
    <mergeCell ref="N40:O40"/>
    <mergeCell ref="N41:O41"/>
    <mergeCell ref="J44:M44"/>
    <mergeCell ref="N44:O44"/>
    <mergeCell ref="J45:M45"/>
    <mergeCell ref="N45:O45"/>
    <mergeCell ref="J46:M46"/>
    <mergeCell ref="N46:O46"/>
    <mergeCell ref="J47:M47"/>
    <mergeCell ref="N47:O47"/>
    <mergeCell ref="N48:O48"/>
  </mergeCells>
  <pageMargins left="0.7" right="0.7" top="0.75" bottom="0.75" header="0.3" footer="0.3"/>
  <pageSetup scale="47"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ACA68-6F1A-46A8-ABB0-8D90727EE17A}">
  <sheetPr codeName="Sheet3"/>
  <dimension ref="B3:J45"/>
  <sheetViews>
    <sheetView zoomScaleNormal="100" workbookViewId="0">
      <selection activeCell="B31" sqref="B31:H31"/>
    </sheetView>
  </sheetViews>
  <sheetFormatPr defaultColWidth="9.140625" defaultRowHeight="15.75" x14ac:dyDescent="0.25"/>
  <cols>
    <col min="1" max="1" width="9.140625" style="2"/>
    <col min="2" max="2" width="25.7109375" style="2" bestFit="1" customWidth="1"/>
    <col min="3" max="3" width="25.7109375" style="2" customWidth="1"/>
    <col min="4" max="4" width="15.7109375" style="2" customWidth="1"/>
    <col min="5" max="5" width="8.7109375" style="2" customWidth="1"/>
    <col min="6" max="6" width="15.7109375" style="2" customWidth="1"/>
    <col min="7" max="7" width="7.5703125" style="2" bestFit="1" customWidth="1"/>
    <col min="8" max="8" width="13.140625" style="2" bestFit="1" customWidth="1"/>
    <col min="9" max="9" width="17.140625" style="2" customWidth="1"/>
    <col min="10" max="10" width="20.7109375" style="2" customWidth="1"/>
    <col min="11" max="16384" width="9.140625" style="2"/>
  </cols>
  <sheetData>
    <row r="3" spans="2:9" ht="21" x14ac:dyDescent="0.35">
      <c r="B3" s="168" t="s">
        <v>61</v>
      </c>
      <c r="C3" s="168"/>
      <c r="D3" s="168"/>
      <c r="E3" s="168"/>
      <c r="F3" s="168"/>
      <c r="G3" s="168"/>
      <c r="H3" s="168"/>
      <c r="I3" s="168"/>
    </row>
    <row r="4" spans="2:9" ht="21" x14ac:dyDescent="0.35">
      <c r="B4" s="17"/>
    </row>
    <row r="5" spans="2:9" x14ac:dyDescent="0.25">
      <c r="B5" s="15" t="s">
        <v>62</v>
      </c>
      <c r="C5" s="15" t="s">
        <v>63</v>
      </c>
      <c r="D5" s="15" t="s">
        <v>64</v>
      </c>
      <c r="E5" s="15" t="s">
        <v>65</v>
      </c>
      <c r="F5" s="15" t="s">
        <v>66</v>
      </c>
      <c r="G5" s="15" t="s">
        <v>67</v>
      </c>
      <c r="H5" s="15" t="s">
        <v>68</v>
      </c>
      <c r="I5" s="15" t="s">
        <v>214</v>
      </c>
    </row>
    <row r="6" spans="2:9" x14ac:dyDescent="0.25">
      <c r="B6" s="18"/>
      <c r="C6" s="19"/>
      <c r="D6" s="20"/>
      <c r="E6" s="21"/>
      <c r="F6" s="22"/>
      <c r="G6" s="22"/>
      <c r="H6" s="19"/>
      <c r="I6" s="16">
        <f>IF(OR(H6="",H6="Deferred",H6="Forgivable"),0,IF(H6="Interest Only",D6*(E6/12),IF(H6="Amortizing",-PMT(E6/12,F6,D6))))</f>
        <v>0</v>
      </c>
    </row>
    <row r="7" spans="2:9" x14ac:dyDescent="0.25">
      <c r="B7" s="18"/>
      <c r="C7" s="19"/>
      <c r="D7" s="20"/>
      <c r="E7" s="21"/>
      <c r="F7" s="20"/>
      <c r="G7" s="20"/>
      <c r="H7" s="19"/>
      <c r="I7" s="16">
        <f>IF(OR(H7="",H7="Deferred",H7="Forgivable"),0,IF(H7="Interest Only",D7*(E7/12),IF(H7="Amortizing",-PMT(E7/12,F7,D7))))</f>
        <v>0</v>
      </c>
    </row>
    <row r="8" spans="2:9" x14ac:dyDescent="0.25">
      <c r="B8" s="18"/>
      <c r="C8" s="19"/>
      <c r="D8" s="20"/>
      <c r="E8" s="21"/>
      <c r="F8" s="20"/>
      <c r="G8" s="20"/>
      <c r="H8" s="19"/>
      <c r="I8" s="16">
        <f>IF(OR(H8="",H8="Deferred",H8="Forgivable"),0,IF(H8="Interest Only",D8*(E8/12),IF(H8="Amortizing",-PMT(E8/12,F8,D8))))</f>
        <v>0</v>
      </c>
    </row>
    <row r="9" spans="2:9" x14ac:dyDescent="0.25">
      <c r="B9" s="18"/>
      <c r="C9" s="19"/>
      <c r="D9" s="20"/>
      <c r="E9" s="21"/>
      <c r="F9" s="20"/>
      <c r="G9" s="20"/>
      <c r="H9" s="19"/>
      <c r="I9" s="16">
        <f>IF(OR(H9="",H9="Deferred",H9="Forgivable"),0,IF(H9="Interest Only",D9*(E9/12),IF(H9="Amortizing",-PMT(E9/12,F9,D9))))</f>
        <v>0</v>
      </c>
    </row>
    <row r="10" spans="2:9" x14ac:dyDescent="0.25">
      <c r="B10" s="18"/>
      <c r="C10" s="19"/>
      <c r="D10" s="20"/>
      <c r="E10" s="21"/>
      <c r="F10" s="20"/>
      <c r="G10" s="20"/>
      <c r="H10" s="19"/>
      <c r="I10" s="16">
        <f>IF(OR(H10="",H10="Deferred",H10="Forgivable"),0,IF(H10="Interest Only",D10*(E10/12),IF(H10="Amortizing",-PMT(E10/12,F10,D10))))</f>
        <v>0</v>
      </c>
    </row>
    <row r="12" spans="2:9" ht="21" x14ac:dyDescent="0.35">
      <c r="B12" s="168" t="s">
        <v>70</v>
      </c>
      <c r="C12" s="168"/>
      <c r="D12" s="168"/>
      <c r="E12" s="168"/>
      <c r="F12" s="168"/>
      <c r="G12" s="168"/>
      <c r="H12" s="168"/>
      <c r="I12" s="168"/>
    </row>
    <row r="13" spans="2:9" ht="21" x14ac:dyDescent="0.35">
      <c r="B13" s="17"/>
    </row>
    <row r="14" spans="2:9" x14ac:dyDescent="0.25">
      <c r="B14" s="15" t="s">
        <v>62</v>
      </c>
      <c r="C14" s="15" t="s">
        <v>63</v>
      </c>
      <c r="D14" s="15" t="s">
        <v>64</v>
      </c>
      <c r="E14" s="15" t="s">
        <v>65</v>
      </c>
      <c r="F14" s="15" t="s">
        <v>66</v>
      </c>
      <c r="G14" s="15" t="s">
        <v>67</v>
      </c>
      <c r="H14" s="15" t="s">
        <v>68</v>
      </c>
      <c r="I14" s="15" t="s">
        <v>214</v>
      </c>
    </row>
    <row r="15" spans="2:9" x14ac:dyDescent="0.25">
      <c r="B15" s="18"/>
      <c r="C15" s="19"/>
      <c r="D15" s="20"/>
      <c r="E15" s="21"/>
      <c r="F15" s="22"/>
      <c r="G15" s="22"/>
      <c r="H15" s="19"/>
      <c r="I15" s="16">
        <f>IF(OR(H15="",H15="Deferred",H15="Forgivable"),0,IF(H15="Interest Only",D15*(E15/12),IF(H15="Amortizing",-PMT(E15/12,F15,D15))))</f>
        <v>0</v>
      </c>
    </row>
    <row r="16" spans="2:9" x14ac:dyDescent="0.25">
      <c r="B16" s="18"/>
      <c r="C16" s="19"/>
      <c r="D16" s="20"/>
      <c r="E16" s="21"/>
      <c r="F16" s="20"/>
      <c r="G16" s="20"/>
      <c r="H16" s="19"/>
      <c r="I16" s="16">
        <f>IF(OR(H16="",H16="Deferred",H16="Forgivable"),0,IF(H16="Interest Only",D16*(E16/12),IF(H16="Amortizing",-PMT(E16/12,F16,D16))))</f>
        <v>0</v>
      </c>
    </row>
    <row r="17" spans="2:10" x14ac:dyDescent="0.25">
      <c r="B17" s="18"/>
      <c r="C17" s="19"/>
      <c r="D17" s="20"/>
      <c r="E17" s="21"/>
      <c r="F17" s="20"/>
      <c r="G17" s="20"/>
      <c r="H17" s="19"/>
      <c r="I17" s="16">
        <f>IF(OR(H17="",H17="Deferred",H17="Forgivable"),0,IF(H17="Interest Only",D17*(E17/12),IF(H17="Amortizing",-PMT(E17/12,F17,D17))))</f>
        <v>0</v>
      </c>
    </row>
    <row r="18" spans="2:10" x14ac:dyDescent="0.25">
      <c r="B18" s="18"/>
      <c r="C18" s="19"/>
      <c r="D18" s="20"/>
      <c r="E18" s="21"/>
      <c r="F18" s="20"/>
      <c r="G18" s="20"/>
      <c r="H18" s="19"/>
      <c r="I18" s="16">
        <f>IF(OR(H18="",H18="Deferred",H18="Forgivable"),0,IF(H18="Interest Only",D18*(E18/12),IF(H18="Amortizing",-PMT(E18/12,F18,D18))))</f>
        <v>0</v>
      </c>
    </row>
    <row r="20" spans="2:10" ht="21" x14ac:dyDescent="0.35">
      <c r="B20" s="168" t="s">
        <v>71</v>
      </c>
      <c r="C20" s="168"/>
      <c r="D20" s="168"/>
      <c r="E20" s="168"/>
      <c r="F20" s="168"/>
      <c r="G20" s="168"/>
      <c r="H20" s="168"/>
      <c r="I20" s="168"/>
      <c r="J20" s="168"/>
    </row>
    <row r="21" spans="2:10" ht="21" x14ac:dyDescent="0.35">
      <c r="B21" s="17"/>
    </row>
    <row r="22" spans="2:10" x14ac:dyDescent="0.25">
      <c r="B22" s="15" t="s">
        <v>62</v>
      </c>
      <c r="C22" s="15" t="s">
        <v>63</v>
      </c>
      <c r="D22" s="15" t="s">
        <v>64</v>
      </c>
      <c r="E22" s="15" t="s">
        <v>65</v>
      </c>
      <c r="F22" s="15" t="s">
        <v>66</v>
      </c>
      <c r="G22" s="15" t="s">
        <v>67</v>
      </c>
      <c r="H22" s="15" t="s">
        <v>68</v>
      </c>
      <c r="I22" s="15" t="s">
        <v>214</v>
      </c>
      <c r="J22" s="15" t="s">
        <v>215</v>
      </c>
    </row>
    <row r="23" spans="2:10" x14ac:dyDescent="0.25">
      <c r="B23" s="144" t="s">
        <v>114</v>
      </c>
      <c r="C23" s="19"/>
      <c r="D23" s="22"/>
      <c r="E23" s="21">
        <v>0.06</v>
      </c>
      <c r="F23" s="22"/>
      <c r="G23" s="22">
        <v>30</v>
      </c>
      <c r="H23" s="19" t="s">
        <v>317</v>
      </c>
      <c r="I23" s="16">
        <f>IF(OR(H23="",H23="Deferred",H23="Forgivable"),0,IF(H23="Interest Only",D23*(E23/12),IF(H23="Amortizing",-PMT(E23/12,F23*12,D23))))</f>
        <v>0</v>
      </c>
      <c r="J23" s="9">
        <f>I23*12</f>
        <v>0</v>
      </c>
    </row>
    <row r="24" spans="2:10" x14ac:dyDescent="0.25">
      <c r="B24" s="144" t="s">
        <v>114</v>
      </c>
      <c r="C24" s="19"/>
      <c r="D24" s="22"/>
      <c r="E24" s="21">
        <v>0.06</v>
      </c>
      <c r="F24" s="22"/>
      <c r="G24" s="22">
        <v>30</v>
      </c>
      <c r="H24" s="19" t="s">
        <v>317</v>
      </c>
      <c r="I24" s="16">
        <f>IF(OR(H24="",H24="Deferred",H24="Forgivable"),0,IF(H24="Interest Only",D24*(E24/12),IF(H24="Amortizing",-PMT(E24/12,F24*12,D24))))</f>
        <v>0</v>
      </c>
      <c r="J24" s="9">
        <f t="shared" ref="J24:J31" si="0">I24*12</f>
        <v>0</v>
      </c>
    </row>
    <row r="25" spans="2:10" x14ac:dyDescent="0.25">
      <c r="B25" s="144" t="s">
        <v>114</v>
      </c>
      <c r="C25" s="19"/>
      <c r="D25" s="22"/>
      <c r="E25" s="21">
        <v>0</v>
      </c>
      <c r="F25" s="22"/>
      <c r="G25" s="22">
        <v>30</v>
      </c>
      <c r="H25" s="19" t="s">
        <v>316</v>
      </c>
      <c r="I25" s="16">
        <f t="shared" ref="I25:I31" si="1">IF(OR(H25="",H25="Deferred",H25="Forgivable"),0,IF(H25="Interest Only",D25*(E25/12),IF(H25="Amortizing",-PMT(E25/12,F25*12,D25))))</f>
        <v>0</v>
      </c>
      <c r="J25" s="9">
        <f t="shared" si="0"/>
        <v>0</v>
      </c>
    </row>
    <row r="26" spans="2:10" x14ac:dyDescent="0.25">
      <c r="B26" s="144" t="s">
        <v>114</v>
      </c>
      <c r="C26" s="19"/>
      <c r="D26" s="22"/>
      <c r="E26" s="21">
        <v>0</v>
      </c>
      <c r="F26" s="22"/>
      <c r="G26" s="22">
        <v>30</v>
      </c>
      <c r="H26" s="19" t="s">
        <v>316</v>
      </c>
      <c r="I26" s="16">
        <f t="shared" si="1"/>
        <v>0</v>
      </c>
      <c r="J26" s="9">
        <f t="shared" si="0"/>
        <v>0</v>
      </c>
    </row>
    <row r="27" spans="2:10" x14ac:dyDescent="0.25">
      <c r="B27" s="23"/>
      <c r="C27" s="24"/>
      <c r="D27" s="117"/>
      <c r="E27" s="26"/>
      <c r="F27" s="25"/>
      <c r="G27" s="25"/>
      <c r="H27" s="24"/>
      <c r="I27" s="28"/>
      <c r="J27" s="29"/>
    </row>
    <row r="28" spans="2:10" x14ac:dyDescent="0.25">
      <c r="B28" s="18"/>
      <c r="C28" s="19"/>
      <c r="D28" s="22"/>
      <c r="E28" s="21"/>
      <c r="F28" s="22"/>
      <c r="G28" s="22"/>
      <c r="H28" s="19"/>
      <c r="I28" s="16">
        <f t="shared" si="1"/>
        <v>0</v>
      </c>
      <c r="J28" s="9">
        <f t="shared" si="0"/>
        <v>0</v>
      </c>
    </row>
    <row r="29" spans="2:10" x14ac:dyDescent="0.25">
      <c r="B29" s="18"/>
      <c r="C29" s="19"/>
      <c r="D29" s="22"/>
      <c r="E29" s="21"/>
      <c r="F29" s="22"/>
      <c r="G29" s="22"/>
      <c r="H29" s="19"/>
      <c r="I29" s="16">
        <f t="shared" si="1"/>
        <v>0</v>
      </c>
      <c r="J29" s="9">
        <f t="shared" si="0"/>
        <v>0</v>
      </c>
    </row>
    <row r="30" spans="2:10" x14ac:dyDescent="0.25">
      <c r="B30" s="18"/>
      <c r="C30" s="19"/>
      <c r="D30" s="22"/>
      <c r="E30" s="21"/>
      <c r="F30" s="22"/>
      <c r="G30" s="22"/>
      <c r="H30" s="19"/>
      <c r="I30" s="16">
        <f t="shared" si="1"/>
        <v>0</v>
      </c>
      <c r="J30" s="9">
        <f t="shared" si="0"/>
        <v>0</v>
      </c>
    </row>
    <row r="31" spans="2:10" x14ac:dyDescent="0.25">
      <c r="B31" s="18"/>
      <c r="C31" s="19"/>
      <c r="D31" s="22"/>
      <c r="E31" s="21"/>
      <c r="F31" s="22"/>
      <c r="G31" s="22"/>
      <c r="H31" s="19"/>
      <c r="I31" s="16">
        <f t="shared" si="1"/>
        <v>0</v>
      </c>
      <c r="J31" s="9">
        <f t="shared" si="0"/>
        <v>0</v>
      </c>
    </row>
    <row r="33" spans="2:10" ht="21" x14ac:dyDescent="0.35">
      <c r="B33" s="168" t="s">
        <v>122</v>
      </c>
      <c r="C33" s="168"/>
      <c r="D33" s="168"/>
      <c r="E33" s="168"/>
      <c r="F33" s="168"/>
      <c r="G33" s="168"/>
      <c r="H33" s="168"/>
      <c r="I33" s="168"/>
      <c r="J33" s="168"/>
    </row>
    <row r="35" spans="2:10" x14ac:dyDescent="0.25">
      <c r="D35" s="6" t="s">
        <v>124</v>
      </c>
      <c r="F35" s="6" t="s">
        <v>125</v>
      </c>
      <c r="H35" s="1" t="str">
        <f>IF(F38&gt;0,"Requesting MaineHousing State HTC Bridge Loan?","")</f>
        <v/>
      </c>
    </row>
    <row r="36" spans="2:10" x14ac:dyDescent="0.25">
      <c r="B36" s="2" t="s">
        <v>123</v>
      </c>
      <c r="D36" s="30">
        <f>'Development Costs'!H57</f>
        <v>0</v>
      </c>
      <c r="E36" s="6"/>
      <c r="F36" s="30">
        <f>D36</f>
        <v>0</v>
      </c>
      <c r="I36" s="24"/>
    </row>
    <row r="37" spans="2:10" x14ac:dyDescent="0.25">
      <c r="B37" s="2" t="s">
        <v>126</v>
      </c>
      <c r="D37" s="31">
        <v>0.2</v>
      </c>
      <c r="E37" s="6"/>
      <c r="F37" s="33">
        <v>0.25</v>
      </c>
    </row>
    <row r="38" spans="2:10" x14ac:dyDescent="0.25">
      <c r="B38" s="1" t="s">
        <v>127</v>
      </c>
      <c r="C38" s="1"/>
      <c r="D38" s="32">
        <f>D36*D37</f>
        <v>0</v>
      </c>
      <c r="E38" s="3"/>
      <c r="F38" s="32">
        <f>F36*F37</f>
        <v>0</v>
      </c>
    </row>
    <row r="40" spans="2:10" x14ac:dyDescent="0.25">
      <c r="B40" s="2" t="s">
        <v>128</v>
      </c>
      <c r="D40" s="12"/>
      <c r="F40" s="12"/>
    </row>
    <row r="41" spans="2:10" x14ac:dyDescent="0.25">
      <c r="B41" s="2" t="s">
        <v>130</v>
      </c>
      <c r="D41" s="139"/>
      <c r="F41" s="139"/>
    </row>
    <row r="43" spans="2:10" x14ac:dyDescent="0.25">
      <c r="B43" s="1" t="s">
        <v>129</v>
      </c>
      <c r="D43" s="9">
        <f>D38*D40*D41</f>
        <v>0</v>
      </c>
      <c r="F43" s="9">
        <f>F38*F40*F41</f>
        <v>0</v>
      </c>
    </row>
    <row r="45" spans="2:10" x14ac:dyDescent="0.25">
      <c r="B45" s="2" t="s">
        <v>185</v>
      </c>
      <c r="D45" s="11"/>
      <c r="F45" s="11"/>
    </row>
  </sheetData>
  <sheetProtection algorithmName="SHA-512" hashValue="ibFMeXlvFv5ZYBp6sfvTAR+yNtsnzM942WHFjTM3pqJtbJnfG/oy3dcLIOdsY7ykI30t4gv4xAzuoQZurEJg6A==" saltValue="2x1zzCdfmDx4zrP6/mkNZw==" spinCount="100000" sheet="1" objects="1" scenarios="1"/>
  <mergeCells count="4">
    <mergeCell ref="B3:I3"/>
    <mergeCell ref="B12:I12"/>
    <mergeCell ref="B20:J20"/>
    <mergeCell ref="B33:J33"/>
  </mergeCells>
  <conditionalFormatting sqref="I36">
    <cfRule type="expression" dxfId="0" priority="1">
      <formula>AND($H$35&lt;&gt;"",$I$36="")</formula>
    </cfRule>
  </conditionalFormatting>
  <dataValidations count="3">
    <dataValidation type="list" allowBlank="1" showInputMessage="1" showErrorMessage="1" sqref="H27" xr:uid="{E5F4EC41-B1C1-4ECC-83EC-37F3F371DE0A}">
      <formula1>"Amortizing, Interest Only, Deferred, Forgivable"</formula1>
    </dataValidation>
    <dataValidation type="list" allowBlank="1" showInputMessage="1" showErrorMessage="1" sqref="H7:H10 H6 H15:H18 H23:H26 H28:H31" xr:uid="{7CBBF57B-04B0-4060-88D6-EE43C176A56D}">
      <formula1>INDIRECT("Loan[Structure]")</formula1>
    </dataValidation>
    <dataValidation type="list" allowBlank="1" showInputMessage="1" showErrorMessage="1" sqref="I36" xr:uid="{A1CC5019-1618-4C19-9EF6-737EBD5D0DB2}">
      <formula1>"Yes, No"</formula1>
    </dataValidation>
  </dataValidations>
  <pageMargins left="0.7" right="0.7" top="0.75" bottom="0.75" header="0.3" footer="0.3"/>
  <pageSetup scale="56"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1ECA5-5371-4BE9-AF8C-85C7FE061911}">
  <sheetPr codeName="Sheet5">
    <pageSetUpPr fitToPage="1"/>
  </sheetPr>
  <dimension ref="A2:V279"/>
  <sheetViews>
    <sheetView topLeftCell="B1" zoomScale="80" zoomScaleNormal="80" workbookViewId="0">
      <selection activeCell="L15" sqref="L15"/>
    </sheetView>
  </sheetViews>
  <sheetFormatPr defaultColWidth="9.140625" defaultRowHeight="15.75" x14ac:dyDescent="0.25"/>
  <cols>
    <col min="1" max="1" width="9.140625" style="2" hidden="1" customWidth="1"/>
    <col min="2" max="2" width="9.140625" style="2" customWidth="1"/>
    <col min="3" max="3" width="1.7109375" style="2" customWidth="1"/>
    <col min="4" max="17" width="12.28515625" style="2" customWidth="1"/>
    <col min="18" max="18" width="14.42578125" style="2" customWidth="1"/>
    <col min="19" max="20" width="12.28515625" style="2" customWidth="1"/>
    <col min="21" max="21" width="2" style="2" customWidth="1"/>
    <col min="22" max="24" width="12.28515625" style="2" customWidth="1"/>
    <col min="25" max="16384" width="9.140625" style="2"/>
  </cols>
  <sheetData>
    <row r="2" spans="4:22" x14ac:dyDescent="0.25">
      <c r="D2" s="2" t="s">
        <v>113</v>
      </c>
      <c r="F2" s="2" t="str">
        <f>IF('Project &amp; Applicant Information'!D4="","-",'Project &amp; Applicant Information'!D4)</f>
        <v>-</v>
      </c>
    </row>
    <row r="3" spans="4:22" x14ac:dyDescent="0.25">
      <c r="D3" s="2" t="s">
        <v>131</v>
      </c>
      <c r="F3" s="2" t="str">
        <f>IF('Project &amp; Applicant Information'!D6="","-",'Project &amp; Applicant Information'!D6)</f>
        <v>-</v>
      </c>
    </row>
    <row r="5" spans="4:22" x14ac:dyDescent="0.25">
      <c r="E5" s="187" t="s">
        <v>179</v>
      </c>
      <c r="F5" s="188"/>
      <c r="G5" s="188"/>
      <c r="H5" s="188"/>
      <c r="I5" s="188"/>
      <c r="J5" s="188"/>
      <c r="K5" s="188"/>
      <c r="L5" s="188"/>
      <c r="M5" s="188"/>
      <c r="N5" s="188"/>
      <c r="O5" s="188"/>
      <c r="P5" s="188"/>
      <c r="Q5" s="189"/>
    </row>
    <row r="6" spans="4:22" x14ac:dyDescent="0.25">
      <c r="E6" s="45" t="s">
        <v>167</v>
      </c>
      <c r="K6" s="48">
        <f>'Operating Budget'!F33</f>
        <v>0</v>
      </c>
      <c r="L6" s="45" t="s">
        <v>170</v>
      </c>
      <c r="O6" s="6" t="s">
        <v>178</v>
      </c>
      <c r="P6" s="6" t="s">
        <v>177</v>
      </c>
      <c r="Q6" s="55" t="s">
        <v>176</v>
      </c>
    </row>
    <row r="7" spans="4:22" x14ac:dyDescent="0.25">
      <c r="E7" s="45" t="s">
        <v>133</v>
      </c>
      <c r="I7" s="49">
        <f>IF(K6=0,0,K7/$K$6)</f>
        <v>0</v>
      </c>
      <c r="K7" s="48">
        <f>SUMIFS('Operating Budget'!$F$21:$F$31,'Operating Budget'!$G$21:$G$31,"30%")</f>
        <v>0</v>
      </c>
      <c r="L7" s="45" t="s">
        <v>171</v>
      </c>
      <c r="O7" s="49">
        <v>0.02</v>
      </c>
      <c r="P7" s="49">
        <v>2.5000000000000001E-2</v>
      </c>
      <c r="Q7" s="54">
        <v>0.03</v>
      </c>
    </row>
    <row r="8" spans="4:22" x14ac:dyDescent="0.25">
      <c r="E8" s="45" t="s">
        <v>134</v>
      </c>
      <c r="I8" s="49">
        <f>IF(K7=0,0,K8/$K$6)</f>
        <v>0</v>
      </c>
      <c r="K8" s="48">
        <f>SUMIFS('Operating Budget'!$F$21:$F$31,'Operating Budget'!$G$21:$G$31,"50%")</f>
        <v>0</v>
      </c>
      <c r="L8" s="45" t="s">
        <v>173</v>
      </c>
      <c r="O8" s="49">
        <v>0.03</v>
      </c>
      <c r="P8" s="49">
        <v>0.03</v>
      </c>
      <c r="Q8" s="54">
        <v>0.03</v>
      </c>
    </row>
    <row r="9" spans="4:22" x14ac:dyDescent="0.25">
      <c r="E9" s="45" t="s">
        <v>135</v>
      </c>
      <c r="I9" s="49">
        <f>IF(K8=0,0,K9/$K$6)</f>
        <v>0</v>
      </c>
      <c r="K9" s="48">
        <f>SUMIFS('Operating Budget'!$F$21:$F$31,'Operating Budget'!$G$21:$G$31,"60%")</f>
        <v>0</v>
      </c>
      <c r="L9" s="45" t="s">
        <v>172</v>
      </c>
      <c r="O9" s="49">
        <f>O7</f>
        <v>0.02</v>
      </c>
      <c r="P9" s="49">
        <f>P7</f>
        <v>2.5000000000000001E-2</v>
      </c>
      <c r="Q9" s="54">
        <f>Q7</f>
        <v>0.03</v>
      </c>
    </row>
    <row r="10" spans="4:22" x14ac:dyDescent="0.25">
      <c r="E10" s="45" t="s">
        <v>136</v>
      </c>
      <c r="I10" s="49">
        <f>IF(K9=0,0,K10/$K$6)</f>
        <v>0</v>
      </c>
      <c r="K10" s="48">
        <f>SUMIFS('Operating Budget'!$F$21:$F$31,'Operating Budget'!$G$21:$G$31,"80%")</f>
        <v>0</v>
      </c>
      <c r="L10" s="57" t="s">
        <v>180</v>
      </c>
      <c r="M10" s="58"/>
      <c r="N10" s="58"/>
      <c r="O10" s="143">
        <f ca="1">H206</f>
        <v>0</v>
      </c>
      <c r="P10" s="58"/>
      <c r="Q10" s="91"/>
    </row>
    <row r="11" spans="4:22" x14ac:dyDescent="0.25">
      <c r="E11" s="45"/>
      <c r="K11" s="50"/>
      <c r="L11" s="45" t="s">
        <v>174</v>
      </c>
      <c r="O11" s="93">
        <f>K169</f>
        <v>0.05</v>
      </c>
      <c r="Q11" s="50"/>
    </row>
    <row r="12" spans="4:22" x14ac:dyDescent="0.25">
      <c r="E12" s="51" t="s">
        <v>137</v>
      </c>
      <c r="F12" s="52"/>
      <c r="G12" s="52"/>
      <c r="H12" s="52"/>
      <c r="I12" s="52"/>
      <c r="J12" s="202">
        <f t="shared" ref="J12" si="0">(SUMPRODUCT($F$155:$F$165,$K$155:$K$165)*12-R182)/0.08</f>
        <v>0</v>
      </c>
      <c r="K12" s="203"/>
      <c r="L12" s="51" t="s">
        <v>175</v>
      </c>
      <c r="M12" s="52"/>
      <c r="N12" s="52"/>
      <c r="O12" s="52"/>
      <c r="P12" s="52"/>
      <c r="Q12" s="53"/>
    </row>
    <row r="14" spans="4:22" x14ac:dyDescent="0.25">
      <c r="E14" s="184" t="s">
        <v>138</v>
      </c>
      <c r="F14" s="185"/>
      <c r="G14" s="185"/>
      <c r="H14" s="185"/>
      <c r="I14" s="185"/>
      <c r="J14" s="185"/>
      <c r="K14" s="185"/>
      <c r="L14" s="185"/>
      <c r="M14" s="185"/>
      <c r="N14" s="185"/>
      <c r="O14" s="185"/>
      <c r="P14" s="185"/>
      <c r="Q14" s="186"/>
    </row>
    <row r="15" spans="4:22" x14ac:dyDescent="0.25">
      <c r="E15" s="43"/>
      <c r="F15" s="27"/>
      <c r="G15" s="27"/>
      <c r="H15" s="27"/>
      <c r="I15" s="27"/>
      <c r="J15" s="27"/>
      <c r="K15" s="27" t="s">
        <v>78</v>
      </c>
      <c r="L15" s="27"/>
      <c r="M15" s="27" t="s">
        <v>35</v>
      </c>
      <c r="N15" s="27"/>
      <c r="O15" s="27" t="s">
        <v>79</v>
      </c>
      <c r="P15" s="27"/>
      <c r="Q15" s="44" t="s">
        <v>169</v>
      </c>
      <c r="V15" s="97" t="str">
        <f>IF(Q138&lt;&gt;Q70,"Does not match capital contributions in flow of funds (row 70). Review","")</f>
        <v/>
      </c>
    </row>
    <row r="16" spans="4:22" x14ac:dyDescent="0.25">
      <c r="E16" s="45" t="s">
        <v>69</v>
      </c>
      <c r="K16" s="68">
        <f>SUM('Development Costs'!E7:E8)</f>
        <v>0</v>
      </c>
      <c r="L16" s="68"/>
      <c r="M16" s="60">
        <f t="shared" ref="M16:M21" si="1">IF($K$6=0,0,K16/$K$6)</f>
        <v>0</v>
      </c>
      <c r="N16" s="68"/>
      <c r="O16" s="68">
        <f>SUM('Development Costs'!F7:F8)</f>
        <v>0</v>
      </c>
      <c r="P16" s="68"/>
      <c r="Q16" s="92">
        <f>SUM(K16,O16)</f>
        <v>0</v>
      </c>
    </row>
    <row r="17" spans="5:17" x14ac:dyDescent="0.25">
      <c r="E17" s="45" t="s">
        <v>82</v>
      </c>
      <c r="K17" s="68">
        <f>'Development Costs'!E9</f>
        <v>0</v>
      </c>
      <c r="L17" s="68"/>
      <c r="M17" s="60">
        <f t="shared" si="1"/>
        <v>0</v>
      </c>
      <c r="N17" s="68"/>
      <c r="O17" s="68">
        <f>'Development Costs'!F9</f>
        <v>0</v>
      </c>
      <c r="P17" s="68"/>
      <c r="Q17" s="92">
        <f t="shared" ref="Q17:Q60" si="2">SUM(K17,O17)</f>
        <v>0</v>
      </c>
    </row>
    <row r="18" spans="5:17" x14ac:dyDescent="0.25">
      <c r="E18" s="45" t="s">
        <v>139</v>
      </c>
      <c r="K18" s="68">
        <f>'Development Costs'!E10</f>
        <v>0</v>
      </c>
      <c r="L18" s="68"/>
      <c r="M18" s="60">
        <f t="shared" si="1"/>
        <v>0</v>
      </c>
      <c r="N18" s="68"/>
      <c r="O18" s="68">
        <f>'Development Costs'!F10</f>
        <v>0</v>
      </c>
      <c r="P18" s="68"/>
      <c r="Q18" s="92">
        <f t="shared" si="2"/>
        <v>0</v>
      </c>
    </row>
    <row r="19" spans="5:17" x14ac:dyDescent="0.25">
      <c r="E19" s="45" t="s">
        <v>273</v>
      </c>
      <c r="K19" s="68">
        <f>'Development Costs'!E11</f>
        <v>0</v>
      </c>
      <c r="L19" s="68"/>
      <c r="M19" s="60">
        <f t="shared" si="1"/>
        <v>0</v>
      </c>
      <c r="N19" s="68"/>
      <c r="O19" s="68">
        <f>'Development Costs'!F11</f>
        <v>0</v>
      </c>
      <c r="P19" s="68"/>
      <c r="Q19" s="92">
        <f t="shared" si="2"/>
        <v>0</v>
      </c>
    </row>
    <row r="20" spans="5:17" x14ac:dyDescent="0.25">
      <c r="E20" s="45" t="s">
        <v>84</v>
      </c>
      <c r="K20" s="113">
        <f>'Development Costs'!E13</f>
        <v>0</v>
      </c>
      <c r="L20" s="68"/>
      <c r="M20" s="60">
        <f t="shared" si="1"/>
        <v>0</v>
      </c>
      <c r="N20" s="68"/>
      <c r="O20" s="113">
        <f>'Development Costs'!F13</f>
        <v>0</v>
      </c>
      <c r="P20" s="68"/>
      <c r="Q20" s="92">
        <f t="shared" si="2"/>
        <v>0</v>
      </c>
    </row>
    <row r="21" spans="5:17" x14ac:dyDescent="0.25">
      <c r="E21" s="45"/>
      <c r="F21" s="1" t="s">
        <v>140</v>
      </c>
      <c r="K21" s="68">
        <f>SUM(K16:K20)</f>
        <v>0</v>
      </c>
      <c r="L21" s="68"/>
      <c r="M21" s="108">
        <f t="shared" si="1"/>
        <v>0</v>
      </c>
      <c r="N21" s="68"/>
      <c r="O21" s="68">
        <f>SUM(O16:O20)</f>
        <v>0</v>
      </c>
      <c r="P21" s="68"/>
      <c r="Q21" s="111">
        <f t="shared" si="2"/>
        <v>0</v>
      </c>
    </row>
    <row r="22" spans="5:17" x14ac:dyDescent="0.25">
      <c r="E22" s="45"/>
      <c r="K22" s="68"/>
      <c r="L22" s="68"/>
      <c r="M22" s="60"/>
      <c r="N22" s="68"/>
      <c r="O22" s="68"/>
      <c r="P22" s="68"/>
      <c r="Q22" s="92"/>
    </row>
    <row r="23" spans="5:17" x14ac:dyDescent="0.25">
      <c r="E23" s="45" t="s">
        <v>150</v>
      </c>
      <c r="K23" s="60">
        <f>'Development Costs'!E17</f>
        <v>0</v>
      </c>
      <c r="L23" s="68"/>
      <c r="M23" s="60">
        <f t="shared" ref="M23:M31" si="3">IF($K$6=0,0,K23/$K$6)</f>
        <v>0</v>
      </c>
      <c r="N23" s="68"/>
      <c r="O23" s="60">
        <f>'Development Costs'!F17</f>
        <v>0</v>
      </c>
      <c r="P23" s="68"/>
      <c r="Q23" s="92">
        <f t="shared" si="2"/>
        <v>0</v>
      </c>
    </row>
    <row r="24" spans="5:17" x14ac:dyDescent="0.25">
      <c r="E24" s="45" t="s">
        <v>89</v>
      </c>
      <c r="K24" s="60">
        <f>'Development Costs'!E18</f>
        <v>0</v>
      </c>
      <c r="L24" s="68"/>
      <c r="M24" s="60">
        <f t="shared" si="3"/>
        <v>0</v>
      </c>
      <c r="N24" s="68"/>
      <c r="O24" s="60">
        <f>'Development Costs'!F18</f>
        <v>0</v>
      </c>
      <c r="P24" s="68"/>
      <c r="Q24" s="92">
        <f t="shared" si="2"/>
        <v>0</v>
      </c>
    </row>
    <row r="25" spans="5:17" x14ac:dyDescent="0.25">
      <c r="E25" s="45" t="s">
        <v>90</v>
      </c>
      <c r="K25" s="60">
        <f>'Development Costs'!E19</f>
        <v>0</v>
      </c>
      <c r="L25" s="68"/>
      <c r="M25" s="60">
        <f t="shared" si="3"/>
        <v>0</v>
      </c>
      <c r="N25" s="68"/>
      <c r="O25" s="60">
        <f>'Development Costs'!F19</f>
        <v>0</v>
      </c>
      <c r="P25" s="68"/>
      <c r="Q25" s="92">
        <f t="shared" si="2"/>
        <v>0</v>
      </c>
    </row>
    <row r="26" spans="5:17" x14ac:dyDescent="0.25">
      <c r="E26" s="45" t="s">
        <v>75</v>
      </c>
      <c r="K26" s="60">
        <f>'Development Costs'!E20</f>
        <v>0</v>
      </c>
      <c r="L26" s="68"/>
      <c r="M26" s="60">
        <f t="shared" si="3"/>
        <v>0</v>
      </c>
      <c r="N26" s="68"/>
      <c r="O26" s="60">
        <f>'Development Costs'!F20</f>
        <v>0</v>
      </c>
      <c r="P26" s="68"/>
      <c r="Q26" s="92">
        <f t="shared" si="2"/>
        <v>0</v>
      </c>
    </row>
    <row r="27" spans="5:17" x14ac:dyDescent="0.25">
      <c r="E27" s="45" t="s">
        <v>151</v>
      </c>
      <c r="K27" s="60">
        <f>'Development Costs'!E21</f>
        <v>0</v>
      </c>
      <c r="L27" s="68"/>
      <c r="M27" s="60">
        <f t="shared" si="3"/>
        <v>0</v>
      </c>
      <c r="N27" s="68"/>
      <c r="O27" s="60">
        <f>'Development Costs'!F21</f>
        <v>0</v>
      </c>
      <c r="P27" s="68"/>
      <c r="Q27" s="92">
        <f t="shared" si="2"/>
        <v>0</v>
      </c>
    </row>
    <row r="28" spans="5:17" x14ac:dyDescent="0.25">
      <c r="E28" s="45" t="s">
        <v>152</v>
      </c>
      <c r="K28" s="60">
        <f>'Development Costs'!E22</f>
        <v>0</v>
      </c>
      <c r="L28" s="68"/>
      <c r="M28" s="60">
        <f t="shared" si="3"/>
        <v>0</v>
      </c>
      <c r="N28" s="68"/>
      <c r="O28" s="60">
        <f>'Development Costs'!F22</f>
        <v>0</v>
      </c>
      <c r="P28" s="68"/>
      <c r="Q28" s="92">
        <f t="shared" si="2"/>
        <v>0</v>
      </c>
    </row>
    <row r="29" spans="5:17" x14ac:dyDescent="0.25">
      <c r="E29" s="45" t="s">
        <v>93</v>
      </c>
      <c r="K29" s="60">
        <f>'Development Costs'!E23</f>
        <v>0</v>
      </c>
      <c r="L29" s="68"/>
      <c r="M29" s="60">
        <f t="shared" si="3"/>
        <v>0</v>
      </c>
      <c r="N29" s="68"/>
      <c r="O29" s="60">
        <f>'Development Costs'!F23</f>
        <v>0</v>
      </c>
      <c r="P29" s="68"/>
      <c r="Q29" s="92">
        <f t="shared" si="2"/>
        <v>0</v>
      </c>
    </row>
    <row r="30" spans="5:17" x14ac:dyDescent="0.25">
      <c r="E30" s="45" t="s">
        <v>76</v>
      </c>
      <c r="K30" s="60">
        <f>'Development Costs'!E24</f>
        <v>0</v>
      </c>
      <c r="L30" s="68"/>
      <c r="M30" s="60">
        <f t="shared" si="3"/>
        <v>0</v>
      </c>
      <c r="N30" s="68"/>
      <c r="O30" s="60">
        <f>'Development Costs'!F24</f>
        <v>0</v>
      </c>
      <c r="P30" s="68"/>
      <c r="Q30" s="92">
        <f t="shared" si="2"/>
        <v>0</v>
      </c>
    </row>
    <row r="31" spans="5:17" x14ac:dyDescent="0.25">
      <c r="E31" s="45"/>
      <c r="F31" s="1" t="s">
        <v>153</v>
      </c>
      <c r="K31" s="110">
        <f>SUM(K23:K30)</f>
        <v>0</v>
      </c>
      <c r="L31" s="68"/>
      <c r="M31" s="108">
        <f t="shared" si="3"/>
        <v>0</v>
      </c>
      <c r="N31" s="68"/>
      <c r="O31" s="110">
        <f>SUM(O23:O30)</f>
        <v>0</v>
      </c>
      <c r="P31" s="68"/>
      <c r="Q31" s="111">
        <f t="shared" si="2"/>
        <v>0</v>
      </c>
    </row>
    <row r="32" spans="5:17" x14ac:dyDescent="0.25">
      <c r="E32" s="45"/>
      <c r="K32" s="68"/>
      <c r="L32" s="68"/>
      <c r="M32" s="60"/>
      <c r="N32" s="68"/>
      <c r="O32" s="68"/>
      <c r="P32" s="68"/>
      <c r="Q32" s="92"/>
    </row>
    <row r="33" spans="5:17" x14ac:dyDescent="0.25">
      <c r="E33" s="45" t="s">
        <v>97</v>
      </c>
      <c r="K33" s="60">
        <f>'Development Costs'!E28</f>
        <v>0</v>
      </c>
      <c r="L33" s="68"/>
      <c r="M33" s="60">
        <f>IF($K$6=0,0,K33/$K$6)</f>
        <v>0</v>
      </c>
      <c r="N33" s="68"/>
      <c r="O33" s="60">
        <f>'Development Costs'!F28</f>
        <v>0</v>
      </c>
      <c r="P33" s="68"/>
      <c r="Q33" s="92">
        <f t="shared" si="2"/>
        <v>0</v>
      </c>
    </row>
    <row r="34" spans="5:17" x14ac:dyDescent="0.25">
      <c r="E34" s="45" t="s">
        <v>98</v>
      </c>
      <c r="K34" s="60">
        <f>'Development Costs'!E29</f>
        <v>0</v>
      </c>
      <c r="L34" s="68"/>
      <c r="M34" s="60">
        <f>IF($K$6=0,0,K34/$K$6)</f>
        <v>0</v>
      </c>
      <c r="N34" s="68"/>
      <c r="O34" s="60">
        <f>'Development Costs'!F29</f>
        <v>0</v>
      </c>
      <c r="P34" s="68"/>
      <c r="Q34" s="92">
        <f t="shared" si="2"/>
        <v>0</v>
      </c>
    </row>
    <row r="35" spans="5:17" x14ac:dyDescent="0.25">
      <c r="E35" s="45" t="s">
        <v>99</v>
      </c>
      <c r="K35" s="60">
        <f>'Development Costs'!E30</f>
        <v>0</v>
      </c>
      <c r="L35" s="68"/>
      <c r="M35" s="60">
        <f>IF($K$6=0,0,K35/$K$6)</f>
        <v>0</v>
      </c>
      <c r="N35" s="68"/>
      <c r="O35" s="60">
        <f>'Development Costs'!F30</f>
        <v>0</v>
      </c>
      <c r="P35" s="68"/>
      <c r="Q35" s="92">
        <f t="shared" si="2"/>
        <v>0</v>
      </c>
    </row>
    <row r="36" spans="5:17" x14ac:dyDescent="0.25">
      <c r="E36" s="45" t="s">
        <v>76</v>
      </c>
      <c r="K36" s="60">
        <f>'Development Costs'!E31</f>
        <v>0</v>
      </c>
      <c r="L36" s="68"/>
      <c r="M36" s="60">
        <f>IF($K$6=0,0,K36/$K$6)</f>
        <v>0</v>
      </c>
      <c r="N36" s="68"/>
      <c r="O36" s="60">
        <f>'Development Costs'!F31</f>
        <v>0</v>
      </c>
      <c r="P36" s="68"/>
      <c r="Q36" s="92">
        <f t="shared" si="2"/>
        <v>0</v>
      </c>
    </row>
    <row r="37" spans="5:17" x14ac:dyDescent="0.25">
      <c r="E37" s="45"/>
      <c r="F37" s="1" t="s">
        <v>154</v>
      </c>
      <c r="K37" s="110">
        <f>SUM(K33:K36)</f>
        <v>0</v>
      </c>
      <c r="L37" s="68"/>
      <c r="M37" s="108">
        <f>IF($K$6=0,0,K37/$K$6)</f>
        <v>0</v>
      </c>
      <c r="N37" s="68"/>
      <c r="O37" s="110">
        <f>SUM(O33:O36)</f>
        <v>0</v>
      </c>
      <c r="P37" s="68"/>
      <c r="Q37" s="111">
        <f t="shared" si="2"/>
        <v>0</v>
      </c>
    </row>
    <row r="38" spans="5:17" x14ac:dyDescent="0.25">
      <c r="E38" s="45"/>
      <c r="K38" s="68"/>
      <c r="L38" s="68"/>
      <c r="M38" s="60"/>
      <c r="N38" s="68"/>
      <c r="O38" s="68"/>
      <c r="P38" s="68"/>
      <c r="Q38" s="92"/>
    </row>
    <row r="39" spans="5:17" x14ac:dyDescent="0.25">
      <c r="E39" s="45" t="s">
        <v>104</v>
      </c>
      <c r="K39" s="60">
        <f>'Development Costs'!E36</f>
        <v>0</v>
      </c>
      <c r="L39" s="68"/>
      <c r="M39" s="60">
        <f t="shared" ref="M39:M45" si="4">IF($K$6=0,0,K39/$K$6)</f>
        <v>0</v>
      </c>
      <c r="N39" s="68"/>
      <c r="O39" s="60">
        <f>'Development Costs'!F36</f>
        <v>0</v>
      </c>
      <c r="P39" s="68"/>
      <c r="Q39" s="92">
        <f t="shared" si="2"/>
        <v>0</v>
      </c>
    </row>
    <row r="40" spans="5:17" x14ac:dyDescent="0.25">
      <c r="E40" s="45" t="s">
        <v>155</v>
      </c>
      <c r="K40" s="60">
        <f>'Development Costs'!E35</f>
        <v>0</v>
      </c>
      <c r="L40" s="68"/>
      <c r="M40" s="60">
        <f t="shared" si="4"/>
        <v>0</v>
      </c>
      <c r="N40" s="68"/>
      <c r="O40" s="60">
        <f>'Development Costs'!F35</f>
        <v>0</v>
      </c>
      <c r="P40" s="68"/>
      <c r="Q40" s="92">
        <f t="shared" si="2"/>
        <v>0</v>
      </c>
    </row>
    <row r="41" spans="5:17" x14ac:dyDescent="0.25">
      <c r="E41" s="45" t="s">
        <v>105</v>
      </c>
      <c r="K41" s="60">
        <f>'Development Costs'!E37</f>
        <v>0</v>
      </c>
      <c r="L41" s="68"/>
      <c r="M41" s="60">
        <f t="shared" si="4"/>
        <v>0</v>
      </c>
      <c r="N41" s="68"/>
      <c r="O41" s="60">
        <f>'Development Costs'!F37</f>
        <v>0</v>
      </c>
      <c r="P41" s="68"/>
      <c r="Q41" s="92">
        <f t="shared" si="2"/>
        <v>0</v>
      </c>
    </row>
    <row r="42" spans="5:17" x14ac:dyDescent="0.25">
      <c r="E42" s="45" t="s">
        <v>141</v>
      </c>
      <c r="K42" s="60">
        <f>'Development Costs'!E38</f>
        <v>0</v>
      </c>
      <c r="L42" s="68"/>
      <c r="M42" s="60">
        <f t="shared" si="4"/>
        <v>0</v>
      </c>
      <c r="N42" s="68"/>
      <c r="O42" s="60">
        <f>'Development Costs'!F38</f>
        <v>0</v>
      </c>
      <c r="P42" s="68"/>
      <c r="Q42" s="92">
        <f t="shared" si="2"/>
        <v>0</v>
      </c>
    </row>
    <row r="43" spans="5:17" x14ac:dyDescent="0.25">
      <c r="E43" s="45" t="s">
        <v>87</v>
      </c>
      <c r="K43" s="60">
        <f>'Development Costs'!E39</f>
        <v>0</v>
      </c>
      <c r="L43" s="68"/>
      <c r="M43" s="60">
        <f t="shared" si="4"/>
        <v>0</v>
      </c>
      <c r="N43" s="68"/>
      <c r="O43" s="60">
        <f>'Development Costs'!F39</f>
        <v>0</v>
      </c>
      <c r="P43" s="68"/>
      <c r="Q43" s="92">
        <f t="shared" si="2"/>
        <v>0</v>
      </c>
    </row>
    <row r="44" spans="5:17" x14ac:dyDescent="0.25">
      <c r="E44" s="45" t="s">
        <v>76</v>
      </c>
      <c r="K44" s="60">
        <f>'Development Costs'!E40</f>
        <v>0</v>
      </c>
      <c r="L44" s="68"/>
      <c r="M44" s="60">
        <f t="shared" si="4"/>
        <v>0</v>
      </c>
      <c r="N44" s="68"/>
      <c r="O44" s="60">
        <f>'Development Costs'!F40</f>
        <v>0</v>
      </c>
      <c r="P44" s="68"/>
      <c r="Q44" s="92">
        <f t="shared" si="2"/>
        <v>0</v>
      </c>
    </row>
    <row r="45" spans="5:17" x14ac:dyDescent="0.25">
      <c r="E45" s="45"/>
      <c r="F45" s="1" t="s">
        <v>156</v>
      </c>
      <c r="K45" s="110">
        <f>SUM(K39:K44)</f>
        <v>0</v>
      </c>
      <c r="L45" s="68"/>
      <c r="M45" s="108">
        <f t="shared" si="4"/>
        <v>0</v>
      </c>
      <c r="N45" s="68"/>
      <c r="O45" s="110">
        <f>SUM(O39:O44)</f>
        <v>0</v>
      </c>
      <c r="P45" s="68"/>
      <c r="Q45" s="111">
        <f t="shared" si="2"/>
        <v>0</v>
      </c>
    </row>
    <row r="46" spans="5:17" x14ac:dyDescent="0.25">
      <c r="E46" s="45"/>
      <c r="K46" s="68"/>
      <c r="L46" s="68"/>
      <c r="M46" s="60"/>
      <c r="N46" s="68"/>
      <c r="O46" s="68"/>
      <c r="P46" s="68"/>
      <c r="Q46" s="92"/>
    </row>
    <row r="47" spans="5:17" x14ac:dyDescent="0.25">
      <c r="E47" s="45" t="s">
        <v>157</v>
      </c>
      <c r="K47" s="68">
        <f>'Development Costs'!E45</f>
        <v>0</v>
      </c>
      <c r="L47" s="68"/>
      <c r="M47" s="60">
        <f>IF($K$6=0,0,K47/$K$6)</f>
        <v>0</v>
      </c>
      <c r="N47" s="68"/>
      <c r="O47" s="68">
        <f>'Development Costs'!F45</f>
        <v>0</v>
      </c>
      <c r="P47" s="68"/>
      <c r="Q47" s="92">
        <f t="shared" si="2"/>
        <v>0</v>
      </c>
    </row>
    <row r="48" spans="5:17" x14ac:dyDescent="0.25">
      <c r="E48" s="45" t="s">
        <v>158</v>
      </c>
      <c r="K48" s="68">
        <f>'Development Costs'!E44</f>
        <v>0</v>
      </c>
      <c r="L48" s="68"/>
      <c r="M48" s="60">
        <f>IF($K$6=0,0,K48/$K$6)</f>
        <v>0</v>
      </c>
      <c r="N48" s="68"/>
      <c r="O48" s="68">
        <f>'Development Costs'!F44</f>
        <v>0</v>
      </c>
      <c r="P48" s="68"/>
      <c r="Q48" s="92">
        <f t="shared" si="2"/>
        <v>0</v>
      </c>
    </row>
    <row r="49" spans="4:18" x14ac:dyDescent="0.25">
      <c r="E49" s="45" t="s">
        <v>159</v>
      </c>
      <c r="K49" s="68">
        <f>'Development Costs'!E46</f>
        <v>0</v>
      </c>
      <c r="L49" s="68"/>
      <c r="M49" s="60">
        <f>IF($K$6=0,0,K49/$K$6)</f>
        <v>0</v>
      </c>
      <c r="N49" s="68"/>
      <c r="O49" s="68">
        <f>'Development Costs'!F46</f>
        <v>0</v>
      </c>
      <c r="P49" s="68"/>
      <c r="Q49" s="92">
        <f t="shared" si="2"/>
        <v>0</v>
      </c>
    </row>
    <row r="50" spans="4:18" x14ac:dyDescent="0.25">
      <c r="E50" s="45" t="s">
        <v>160</v>
      </c>
      <c r="K50" s="68">
        <f>'Development Costs'!E47</f>
        <v>0</v>
      </c>
      <c r="L50" s="68"/>
      <c r="M50" s="60">
        <f>IF($K$6=0,0,K50/$K$6)</f>
        <v>0</v>
      </c>
      <c r="N50" s="68"/>
      <c r="O50" s="68">
        <f>'Development Costs'!F47</f>
        <v>0</v>
      </c>
      <c r="P50" s="68"/>
      <c r="Q50" s="92">
        <f t="shared" si="2"/>
        <v>0</v>
      </c>
    </row>
    <row r="51" spans="4:18" x14ac:dyDescent="0.25">
      <c r="E51" s="45"/>
      <c r="F51" s="1" t="s">
        <v>161</v>
      </c>
      <c r="K51" s="110">
        <f>SUM(K47:K50)</f>
        <v>0</v>
      </c>
      <c r="L51" s="68"/>
      <c r="M51" s="108">
        <f>IF($K$6=0,0,K51/$K$6)</f>
        <v>0</v>
      </c>
      <c r="N51" s="68"/>
      <c r="O51" s="110">
        <f>SUM(O47:O50)</f>
        <v>0</v>
      </c>
      <c r="P51" s="68"/>
      <c r="Q51" s="111">
        <f t="shared" si="2"/>
        <v>0</v>
      </c>
    </row>
    <row r="52" spans="4:18" x14ac:dyDescent="0.25">
      <c r="E52" s="45"/>
      <c r="K52" s="68"/>
      <c r="L52" s="68"/>
      <c r="M52" s="60"/>
      <c r="N52" s="68"/>
      <c r="O52" s="68"/>
      <c r="P52" s="68"/>
      <c r="Q52" s="92"/>
    </row>
    <row r="53" spans="4:18" x14ac:dyDescent="0.25">
      <c r="E53" s="45" t="s">
        <v>162</v>
      </c>
      <c r="K53" s="60">
        <v>0</v>
      </c>
      <c r="L53" s="68"/>
      <c r="M53" s="60">
        <f t="shared" ref="M53:M58" si="5">IF($K$6=0,0,K53/$K$6)</f>
        <v>0</v>
      </c>
      <c r="N53" s="68"/>
      <c r="O53" s="60">
        <v>0</v>
      </c>
      <c r="P53" s="68"/>
      <c r="Q53" s="92">
        <f t="shared" si="2"/>
        <v>0</v>
      </c>
    </row>
    <row r="54" spans="4:18" x14ac:dyDescent="0.25">
      <c r="E54" s="45" t="s">
        <v>163</v>
      </c>
      <c r="K54" s="60">
        <f>'Development Costs'!E52</f>
        <v>0</v>
      </c>
      <c r="L54" s="68"/>
      <c r="M54" s="60">
        <f t="shared" si="5"/>
        <v>0</v>
      </c>
      <c r="N54" s="68"/>
      <c r="O54" s="60">
        <f>'Development Costs'!F52</f>
        <v>0</v>
      </c>
      <c r="P54" s="68"/>
      <c r="Q54" s="92">
        <f t="shared" si="2"/>
        <v>0</v>
      </c>
    </row>
    <row r="55" spans="4:18" x14ac:dyDescent="0.25">
      <c r="E55" s="45" t="s">
        <v>109</v>
      </c>
      <c r="K55" s="60">
        <f>'Development Costs'!E51</f>
        <v>0</v>
      </c>
      <c r="L55" s="68"/>
      <c r="M55" s="60">
        <f t="shared" si="5"/>
        <v>0</v>
      </c>
      <c r="N55" s="68"/>
      <c r="O55" s="60">
        <f>'Development Costs'!F51</f>
        <v>0</v>
      </c>
      <c r="P55" s="68"/>
      <c r="Q55" s="92">
        <f t="shared" si="2"/>
        <v>0</v>
      </c>
    </row>
    <row r="56" spans="4:18" x14ac:dyDescent="0.25">
      <c r="E56" s="45" t="s">
        <v>164</v>
      </c>
      <c r="K56" s="60">
        <f>'Development Costs'!E53</f>
        <v>0</v>
      </c>
      <c r="L56" s="68"/>
      <c r="M56" s="60">
        <f t="shared" si="5"/>
        <v>0</v>
      </c>
      <c r="N56" s="68"/>
      <c r="O56" s="60">
        <f>'Development Costs'!F53</f>
        <v>0</v>
      </c>
      <c r="P56" s="68"/>
      <c r="Q56" s="92">
        <f t="shared" si="2"/>
        <v>0</v>
      </c>
    </row>
    <row r="57" spans="4:18" x14ac:dyDescent="0.25">
      <c r="E57" s="45" t="s">
        <v>165</v>
      </c>
      <c r="K57" s="60">
        <f>'Development Costs'!E54</f>
        <v>0</v>
      </c>
      <c r="L57" s="68"/>
      <c r="M57" s="60">
        <f t="shared" si="5"/>
        <v>0</v>
      </c>
      <c r="N57" s="68"/>
      <c r="O57" s="60">
        <f>'Development Costs'!F54</f>
        <v>0</v>
      </c>
      <c r="P57" s="68"/>
      <c r="Q57" s="92">
        <f t="shared" si="2"/>
        <v>0</v>
      </c>
    </row>
    <row r="58" spans="4:18" x14ac:dyDescent="0.25">
      <c r="E58" s="45"/>
      <c r="F58" s="1" t="s">
        <v>166</v>
      </c>
      <c r="K58" s="108">
        <f>SUM(K53:K57)</f>
        <v>0</v>
      </c>
      <c r="L58" s="68"/>
      <c r="M58" s="108">
        <f t="shared" si="5"/>
        <v>0</v>
      </c>
      <c r="N58" s="68"/>
      <c r="O58" s="108">
        <f>SUM(O53:O57)</f>
        <v>0</v>
      </c>
      <c r="P58" s="68"/>
      <c r="Q58" s="111">
        <f t="shared" si="2"/>
        <v>0</v>
      </c>
    </row>
    <row r="59" spans="4:18" x14ac:dyDescent="0.25">
      <c r="E59" s="45"/>
      <c r="K59" s="68"/>
      <c r="L59" s="68"/>
      <c r="M59" s="60"/>
      <c r="N59" s="68"/>
      <c r="O59" s="68"/>
      <c r="P59" s="68"/>
      <c r="Q59" s="92"/>
    </row>
    <row r="60" spans="4:18" x14ac:dyDescent="0.25">
      <c r="E60" s="43"/>
      <c r="F60" s="27"/>
      <c r="G60" s="46" t="s">
        <v>168</v>
      </c>
      <c r="H60" s="27"/>
      <c r="I60" s="27"/>
      <c r="J60" s="27"/>
      <c r="K60" s="113">
        <f>SUM(K21,K31,K37,K45,K51,K58)</f>
        <v>0</v>
      </c>
      <c r="L60" s="113"/>
      <c r="M60" s="61">
        <f>IF($K$6=0,0,K60/$K$6)</f>
        <v>0</v>
      </c>
      <c r="N60" s="113"/>
      <c r="O60" s="113">
        <f>SUM(O21,O31,O37,O45,O51,O58)</f>
        <v>0</v>
      </c>
      <c r="P60" s="113"/>
      <c r="Q60" s="114">
        <f t="shared" si="2"/>
        <v>0</v>
      </c>
    </row>
    <row r="62" spans="4:18" x14ac:dyDescent="0.25">
      <c r="R62" s="2" t="str">
        <f>F2</f>
        <v>-</v>
      </c>
    </row>
    <row r="64" spans="4:18" x14ac:dyDescent="0.25">
      <c r="D64" s="187" t="s">
        <v>181</v>
      </c>
      <c r="E64" s="188"/>
      <c r="F64" s="188"/>
      <c r="G64" s="188"/>
      <c r="H64" s="188"/>
      <c r="I64" s="188"/>
      <c r="J64" s="188"/>
      <c r="K64" s="188"/>
      <c r="L64" s="188"/>
      <c r="M64" s="188"/>
      <c r="N64" s="188"/>
      <c r="O64" s="188"/>
      <c r="P64" s="188"/>
      <c r="Q64" s="189"/>
    </row>
    <row r="65" spans="4:17" x14ac:dyDescent="0.25">
      <c r="D65" s="57"/>
      <c r="E65" s="58"/>
      <c r="F65" s="58"/>
      <c r="G65" s="56" t="s">
        <v>197</v>
      </c>
      <c r="H65" s="58"/>
      <c r="I65" s="190" t="s">
        <v>202</v>
      </c>
      <c r="J65" s="190"/>
      <c r="K65" s="190"/>
      <c r="L65" s="190"/>
      <c r="M65" s="56"/>
      <c r="N65" s="56" t="s">
        <v>205</v>
      </c>
      <c r="O65" s="58"/>
      <c r="P65" s="56" t="s">
        <v>76</v>
      </c>
      <c r="Q65" s="63" t="s">
        <v>19</v>
      </c>
    </row>
    <row r="66" spans="4:17" x14ac:dyDescent="0.25">
      <c r="D66" s="43"/>
      <c r="E66" s="27"/>
      <c r="F66" s="27"/>
      <c r="G66" s="62">
        <f ca="1">IF('LO Inputs'!D5="",EOMONTH(TODAY(),12),'LO Inputs'!D5)</f>
        <v>46477</v>
      </c>
      <c r="H66" s="27"/>
      <c r="I66" s="62">
        <f ca="1">EOMONTH(G66,IF('LO Inputs'!D6="",12,'LO Inputs'!D6)/4)</f>
        <v>46568</v>
      </c>
      <c r="J66" s="62">
        <f ca="1">EOMONTH(G66,(IF('LO Inputs'!D6="",12,'LO Inputs'!D6)/4)*2)</f>
        <v>46660</v>
      </c>
      <c r="K66" s="62">
        <f ca="1">EOMONTH(G66,(IF('LO Inputs'!D6="",12,'LO Inputs'!D6)/4)*3)</f>
        <v>46752</v>
      </c>
      <c r="L66" s="62">
        <f ca="1">EOMONTH(G66,IF('LO Inputs'!D6="",12,'LO Inputs'!D6))</f>
        <v>46843</v>
      </c>
      <c r="M66" s="27"/>
      <c r="N66" s="62">
        <f ca="1">IF('LO Inputs'!D7="",EOMONTH(L66,2),'LO Inputs'!D7)</f>
        <v>46904</v>
      </c>
      <c r="O66" s="27"/>
      <c r="P66" s="27"/>
      <c r="Q66" s="44"/>
    </row>
    <row r="67" spans="4:17" x14ac:dyDescent="0.25">
      <c r="D67" s="59" t="s">
        <v>182</v>
      </c>
      <c r="Q67" s="50"/>
    </row>
    <row r="68" spans="4:17" x14ac:dyDescent="0.25">
      <c r="D68" s="45" t="s">
        <v>183</v>
      </c>
      <c r="G68" s="64"/>
      <c r="H68" s="64"/>
      <c r="I68" s="64">
        <f>G107</f>
        <v>0</v>
      </c>
      <c r="J68" s="64">
        <f>I107</f>
        <v>0</v>
      </c>
      <c r="K68" s="64">
        <f>J107</f>
        <v>0</v>
      </c>
      <c r="L68" s="64">
        <f>K107</f>
        <v>0</v>
      </c>
      <c r="M68" s="64"/>
      <c r="N68" s="64">
        <f>L107</f>
        <v>0</v>
      </c>
      <c r="O68" s="64"/>
      <c r="P68" s="64">
        <f>N107</f>
        <v>0</v>
      </c>
      <c r="Q68" s="48"/>
    </row>
    <row r="69" spans="4:17" x14ac:dyDescent="0.25">
      <c r="D69" s="45"/>
      <c r="G69" s="64"/>
      <c r="H69" s="64"/>
      <c r="I69" s="64"/>
      <c r="J69" s="64"/>
      <c r="K69" s="64"/>
      <c r="L69" s="64"/>
      <c r="M69" s="64"/>
      <c r="N69" s="64"/>
      <c r="O69" s="64"/>
      <c r="P69" s="64"/>
      <c r="Q69" s="48"/>
    </row>
    <row r="70" spans="4:17" x14ac:dyDescent="0.25">
      <c r="D70" s="45" t="s">
        <v>184</v>
      </c>
      <c r="G70" s="60">
        <f>SUM('Sources of Funds'!D45:F45)-SUM(I70:L70)</f>
        <v>0</v>
      </c>
      <c r="H70" s="60"/>
      <c r="I70" s="60"/>
      <c r="J70" s="60"/>
      <c r="K70" s="60"/>
      <c r="L70" s="60"/>
      <c r="M70" s="64"/>
      <c r="N70" s="60">
        <f>SUM('Sources of Funds'!D43:F43)-SUM(G70:L70)</f>
        <v>0</v>
      </c>
      <c r="O70" s="64"/>
      <c r="P70" s="64"/>
      <c r="Q70" s="48">
        <f>SUM(G70:P70)</f>
        <v>0</v>
      </c>
    </row>
    <row r="71" spans="4:17" x14ac:dyDescent="0.25">
      <c r="D71" s="45"/>
      <c r="G71" s="64"/>
      <c r="H71" s="64"/>
      <c r="I71" s="64"/>
      <c r="J71" s="64"/>
      <c r="K71" s="64"/>
      <c r="L71" s="64"/>
      <c r="M71" s="64"/>
      <c r="N71" s="64"/>
      <c r="O71" s="64"/>
      <c r="P71" s="64"/>
      <c r="Q71" s="48"/>
    </row>
    <row r="72" spans="4:17" x14ac:dyDescent="0.25">
      <c r="D72" s="45" t="s">
        <v>186</v>
      </c>
      <c r="G72" s="64">
        <f>IF(G105-SUM(G68:G70,G74:G86)&lt;0,0,G105-SUM(G68:G70,G74:G86))</f>
        <v>0</v>
      </c>
      <c r="H72" s="64"/>
      <c r="I72" s="64">
        <f>IF(I105-SUM(I68:I70,I74:I86)&lt;0,0,I105-SUM(I68:I70,I74:I86))</f>
        <v>0</v>
      </c>
      <c r="J72" s="64">
        <f>IF(J105-SUM(J68:J70,J74:J86)&lt;0,0,J105-SUM(J68:J70,J74:J86))</f>
        <v>0</v>
      </c>
      <c r="K72" s="64">
        <f>IF(K105-SUM(K68:K70,K74:K86)&lt;0,0,K105-SUM(K68:K70,K74:K86))</f>
        <v>0</v>
      </c>
      <c r="L72" s="64">
        <f>IF(L105-SUM(L68:L70,L74:L86)&lt;0,0,L105-SUM(L68:L70,L74:L86))</f>
        <v>0</v>
      </c>
      <c r="M72" s="64"/>
      <c r="N72" s="64"/>
      <c r="O72" s="64"/>
      <c r="P72" s="64"/>
      <c r="Q72" s="48">
        <f>ROUNDUP(SUM(G72:P72),-4)</f>
        <v>0</v>
      </c>
    </row>
    <row r="73" spans="4:17" x14ac:dyDescent="0.25">
      <c r="D73" s="45"/>
      <c r="G73" s="64"/>
      <c r="H73" s="64"/>
      <c r="I73" s="64"/>
      <c r="J73" s="64"/>
      <c r="K73" s="64"/>
      <c r="L73" s="64"/>
      <c r="M73" s="64"/>
      <c r="N73" s="64"/>
      <c r="O73" s="64"/>
      <c r="P73" s="64"/>
      <c r="Q73" s="48"/>
    </row>
    <row r="74" spans="4:17" x14ac:dyDescent="0.25">
      <c r="D74" s="45" t="str">
        <f>'Sources of Funds'!B23 &amp; " - " &amp; 'Sources of Funds'!C23</f>
        <v xml:space="preserve">MaineHousing - </v>
      </c>
      <c r="G74" s="64">
        <f>'Sources of Funds'!D23-SUM(I74:P74)</f>
        <v>0</v>
      </c>
      <c r="H74" s="64"/>
      <c r="I74" s="64"/>
      <c r="J74" s="64"/>
      <c r="K74" s="64"/>
      <c r="L74" s="64"/>
      <c r="M74" s="64"/>
      <c r="N74" s="64"/>
      <c r="O74" s="64"/>
      <c r="P74" s="64"/>
      <c r="Q74" s="48">
        <f>SUM(G74:P74)</f>
        <v>0</v>
      </c>
    </row>
    <row r="75" spans="4:17" x14ac:dyDescent="0.25">
      <c r="D75" s="45" t="str">
        <f>'Sources of Funds'!B24 &amp; " - " &amp; 'Sources of Funds'!C24</f>
        <v xml:space="preserve">MaineHousing - </v>
      </c>
      <c r="G75" s="64">
        <f>'Sources of Funds'!D24-SUM(I75:P75)</f>
        <v>0</v>
      </c>
      <c r="H75" s="64"/>
      <c r="I75" s="64"/>
      <c r="J75" s="64"/>
      <c r="K75" s="64"/>
      <c r="L75" s="64"/>
      <c r="M75" s="64"/>
      <c r="N75" s="64"/>
      <c r="O75" s="64"/>
      <c r="P75" s="64"/>
      <c r="Q75" s="48">
        <f>SUM(G75:P75)</f>
        <v>0</v>
      </c>
    </row>
    <row r="76" spans="4:17" x14ac:dyDescent="0.25">
      <c r="D76" s="45" t="str">
        <f>'Sources of Funds'!B25 &amp; " - " &amp; 'Sources of Funds'!C25</f>
        <v xml:space="preserve">MaineHousing - </v>
      </c>
      <c r="G76" s="64">
        <f>'Sources of Funds'!D25-SUM(I76:P76)</f>
        <v>0</v>
      </c>
      <c r="H76" s="64"/>
      <c r="I76" s="64"/>
      <c r="J76" s="64"/>
      <c r="K76" s="64"/>
      <c r="L76" s="64"/>
      <c r="M76" s="64"/>
      <c r="N76" s="64"/>
      <c r="O76" s="64"/>
      <c r="P76" s="64"/>
      <c r="Q76" s="48">
        <f>SUM(G76:P76)</f>
        <v>0</v>
      </c>
    </row>
    <row r="77" spans="4:17" x14ac:dyDescent="0.25">
      <c r="D77" s="45" t="str">
        <f>'Sources of Funds'!B26 &amp; " - " &amp; 'Sources of Funds'!C26</f>
        <v xml:space="preserve">MaineHousing - </v>
      </c>
      <c r="G77" s="64">
        <f>'Sources of Funds'!D26-SUM(I77:P77)</f>
        <v>0</v>
      </c>
      <c r="H77" s="64"/>
      <c r="I77" s="64"/>
      <c r="J77" s="64"/>
      <c r="K77" s="64"/>
      <c r="L77" s="64"/>
      <c r="M77" s="64"/>
      <c r="N77" s="64"/>
      <c r="O77" s="64"/>
      <c r="P77" s="64"/>
      <c r="Q77" s="48">
        <f>SUM(G77:P77)</f>
        <v>0</v>
      </c>
    </row>
    <row r="78" spans="4:17" x14ac:dyDescent="0.25">
      <c r="D78" s="45"/>
      <c r="G78" s="64"/>
      <c r="H78" s="64"/>
      <c r="I78" s="64"/>
      <c r="J78" s="64"/>
      <c r="K78" s="64"/>
      <c r="L78" s="64"/>
      <c r="M78" s="64"/>
      <c r="N78" s="64"/>
      <c r="O78" s="64"/>
      <c r="P78" s="64"/>
      <c r="Q78" s="48"/>
    </row>
    <row r="79" spans="4:17" x14ac:dyDescent="0.25">
      <c r="D79" s="45" t="str">
        <f>'Sources of Funds'!B15 &amp; " - " &amp; 'Sources of Funds'!C15</f>
        <v xml:space="preserve"> - </v>
      </c>
      <c r="G79" s="60">
        <f>'Sources of Funds'!D15-SUM(I79:L79)</f>
        <v>0</v>
      </c>
      <c r="H79" s="64"/>
      <c r="I79" s="64"/>
      <c r="J79" s="64"/>
      <c r="K79" s="64"/>
      <c r="L79" s="64"/>
      <c r="M79" s="64"/>
      <c r="N79" s="64"/>
      <c r="O79" s="64"/>
      <c r="P79" s="64"/>
      <c r="Q79" s="48">
        <f t="shared" ref="Q79:Q86" si="6">SUM(G79:P79)</f>
        <v>0</v>
      </c>
    </row>
    <row r="80" spans="4:17" x14ac:dyDescent="0.25">
      <c r="D80" s="45" t="str">
        <f>'Sources of Funds'!B16 &amp; " - " &amp; 'Sources of Funds'!C16</f>
        <v xml:space="preserve"> - </v>
      </c>
      <c r="G80" s="60">
        <f>'Sources of Funds'!D16-SUM(I80:L80)</f>
        <v>0</v>
      </c>
      <c r="H80" s="64"/>
      <c r="I80" s="64"/>
      <c r="J80" s="64"/>
      <c r="K80" s="64"/>
      <c r="L80" s="64"/>
      <c r="M80" s="64"/>
      <c r="N80" s="64"/>
      <c r="O80" s="64"/>
      <c r="P80" s="64"/>
      <c r="Q80" s="48">
        <f t="shared" si="6"/>
        <v>0</v>
      </c>
    </row>
    <row r="81" spans="4:17" x14ac:dyDescent="0.25">
      <c r="D81" s="45" t="str">
        <f>'Sources of Funds'!B17 &amp; " - " &amp; 'Sources of Funds'!C17</f>
        <v xml:space="preserve"> - </v>
      </c>
      <c r="G81" s="60">
        <f>'Sources of Funds'!D17-SUM(I81:L81)</f>
        <v>0</v>
      </c>
      <c r="H81" s="64"/>
      <c r="I81" s="64"/>
      <c r="J81" s="64"/>
      <c r="K81" s="64"/>
      <c r="L81" s="64"/>
      <c r="M81" s="64"/>
      <c r="N81" s="64"/>
      <c r="O81" s="64"/>
      <c r="P81" s="64"/>
      <c r="Q81" s="48">
        <f t="shared" si="6"/>
        <v>0</v>
      </c>
    </row>
    <row r="82" spans="4:17" x14ac:dyDescent="0.25">
      <c r="D82" s="45" t="str">
        <f>'Sources of Funds'!B18 &amp; " - " &amp; 'Sources of Funds'!C18</f>
        <v xml:space="preserve"> - </v>
      </c>
      <c r="G82" s="60">
        <f>'Sources of Funds'!D18-SUM(I82:L82)</f>
        <v>0</v>
      </c>
      <c r="H82" s="64"/>
      <c r="I82" s="64"/>
      <c r="J82" s="64"/>
      <c r="K82" s="64"/>
      <c r="L82" s="64"/>
      <c r="M82" s="64"/>
      <c r="N82" s="64"/>
      <c r="O82" s="64"/>
      <c r="P82" s="64"/>
      <c r="Q82" s="48">
        <f t="shared" si="6"/>
        <v>0</v>
      </c>
    </row>
    <row r="83" spans="4:17" x14ac:dyDescent="0.25">
      <c r="D83" s="45" t="str">
        <f>'Sources of Funds'!B28 &amp; " - " &amp;'Sources of Funds'!C28</f>
        <v xml:space="preserve"> - </v>
      </c>
      <c r="G83" s="60">
        <f>'Sources of Funds'!D28-SUM(I83:P83)</f>
        <v>0</v>
      </c>
      <c r="H83" s="64"/>
      <c r="I83" s="64"/>
      <c r="J83" s="64"/>
      <c r="K83" s="64"/>
      <c r="L83" s="64"/>
      <c r="M83" s="64"/>
      <c r="N83" s="64"/>
      <c r="O83" s="64"/>
      <c r="P83" s="64"/>
      <c r="Q83" s="48">
        <f t="shared" si="6"/>
        <v>0</v>
      </c>
    </row>
    <row r="84" spans="4:17" x14ac:dyDescent="0.25">
      <c r="D84" s="45" t="str">
        <f>'Sources of Funds'!B29 &amp; " - " &amp;'Sources of Funds'!C29</f>
        <v xml:space="preserve"> - </v>
      </c>
      <c r="G84" s="60">
        <f>'Sources of Funds'!D29-SUM(I84:P84)</f>
        <v>0</v>
      </c>
      <c r="H84" s="64"/>
      <c r="I84" s="64"/>
      <c r="J84" s="64"/>
      <c r="K84" s="64"/>
      <c r="L84" s="64"/>
      <c r="M84" s="64"/>
      <c r="N84" s="64"/>
      <c r="O84" s="64"/>
      <c r="P84" s="64"/>
      <c r="Q84" s="48">
        <f t="shared" si="6"/>
        <v>0</v>
      </c>
    </row>
    <row r="85" spans="4:17" x14ac:dyDescent="0.25">
      <c r="D85" s="45" t="str">
        <f>'Sources of Funds'!B30 &amp; " - " &amp;'Sources of Funds'!C30</f>
        <v xml:space="preserve"> - </v>
      </c>
      <c r="G85" s="60">
        <f>'Sources of Funds'!D30-SUM(I85:P85)</f>
        <v>0</v>
      </c>
      <c r="H85" s="64"/>
      <c r="I85" s="64"/>
      <c r="J85" s="64"/>
      <c r="K85" s="64"/>
      <c r="L85" s="64"/>
      <c r="M85" s="64"/>
      <c r="N85" s="64"/>
      <c r="O85" s="64"/>
      <c r="P85" s="64"/>
      <c r="Q85" s="48">
        <f t="shared" si="6"/>
        <v>0</v>
      </c>
    </row>
    <row r="86" spans="4:17" x14ac:dyDescent="0.25">
      <c r="D86" s="45" t="str">
        <f>'Sources of Funds'!B31 &amp; " - " &amp;'Sources of Funds'!C31</f>
        <v xml:space="preserve"> - </v>
      </c>
      <c r="G86" s="60">
        <f>'Sources of Funds'!D31-SUM(I86:P86)</f>
        <v>0</v>
      </c>
      <c r="H86" s="64"/>
      <c r="I86" s="64"/>
      <c r="J86" s="64"/>
      <c r="K86" s="64"/>
      <c r="L86" s="64"/>
      <c r="M86" s="64"/>
      <c r="N86" s="64"/>
      <c r="O86" s="64"/>
      <c r="P86" s="64"/>
      <c r="Q86" s="48">
        <f t="shared" si="6"/>
        <v>0</v>
      </c>
    </row>
    <row r="87" spans="4:17" x14ac:dyDescent="0.25">
      <c r="D87" s="45"/>
      <c r="G87" s="64"/>
      <c r="H87" s="64"/>
      <c r="I87" s="64"/>
      <c r="J87" s="64"/>
      <c r="K87" s="64"/>
      <c r="L87" s="64"/>
      <c r="M87" s="64"/>
      <c r="N87" s="64"/>
      <c r="O87" s="64"/>
      <c r="P87" s="64"/>
      <c r="Q87" s="48"/>
    </row>
    <row r="88" spans="4:17" x14ac:dyDescent="0.25">
      <c r="D88" s="59" t="s">
        <v>187</v>
      </c>
      <c r="G88" s="60">
        <f>SUM(G68:G86)</f>
        <v>0</v>
      </c>
      <c r="H88" s="64"/>
      <c r="I88" s="60">
        <f>SUM(I68:I86)</f>
        <v>0</v>
      </c>
      <c r="J88" s="60">
        <f>SUM(J68:J86)</f>
        <v>0</v>
      </c>
      <c r="K88" s="60">
        <f>SUM(K68:K86)</f>
        <v>0</v>
      </c>
      <c r="L88" s="60">
        <f>SUM(L68:L86)</f>
        <v>0</v>
      </c>
      <c r="M88" s="64"/>
      <c r="N88" s="60">
        <f>SUM(N68:N86)</f>
        <v>0</v>
      </c>
      <c r="O88" s="64"/>
      <c r="P88" s="60">
        <f>SUM(P68:P86)</f>
        <v>0</v>
      </c>
      <c r="Q88" s="48">
        <f>SUM(Q70:Q86)</f>
        <v>0</v>
      </c>
    </row>
    <row r="89" spans="4:17" x14ac:dyDescent="0.25">
      <c r="D89" s="45"/>
      <c r="G89" s="64"/>
      <c r="H89" s="64"/>
      <c r="I89" s="64"/>
      <c r="J89" s="64"/>
      <c r="K89" s="64"/>
      <c r="L89" s="64"/>
      <c r="M89" s="64"/>
      <c r="N89" s="64"/>
      <c r="O89" s="64"/>
      <c r="P89" s="64"/>
      <c r="Q89" s="48"/>
    </row>
    <row r="90" spans="4:17" x14ac:dyDescent="0.25">
      <c r="D90" s="59" t="s">
        <v>188</v>
      </c>
      <c r="G90" s="64"/>
      <c r="H90" s="64"/>
      <c r="I90" s="64"/>
      <c r="J90" s="64"/>
      <c r="K90" s="64"/>
      <c r="L90" s="64"/>
      <c r="M90" s="64"/>
      <c r="N90" s="64"/>
      <c r="O90" s="64"/>
      <c r="P90" s="64"/>
      <c r="Q90" s="48"/>
    </row>
    <row r="91" spans="4:17" x14ac:dyDescent="0.25">
      <c r="D91" s="45"/>
      <c r="G91" s="64"/>
      <c r="H91" s="64"/>
      <c r="I91" s="64"/>
      <c r="J91" s="64"/>
      <c r="K91" s="64"/>
      <c r="L91" s="64"/>
      <c r="M91" s="64"/>
      <c r="N91" s="64"/>
      <c r="O91" s="64"/>
      <c r="P91" s="64"/>
      <c r="Q91" s="48"/>
    </row>
    <row r="92" spans="4:17" x14ac:dyDescent="0.25">
      <c r="D92" s="45" t="s">
        <v>69</v>
      </c>
      <c r="G92" s="64"/>
      <c r="H92" s="64"/>
      <c r="I92" s="64">
        <f>$Q$21/4</f>
        <v>0</v>
      </c>
      <c r="J92" s="64">
        <f>$Q$21/4</f>
        <v>0</v>
      </c>
      <c r="K92" s="64">
        <f>$Q$21/4</f>
        <v>0</v>
      </c>
      <c r="L92" s="64">
        <f>$Q$21/4</f>
        <v>0</v>
      </c>
      <c r="M92" s="64"/>
      <c r="N92" s="64"/>
      <c r="O92" s="64"/>
      <c r="P92" s="64"/>
      <c r="Q92" s="48">
        <f>SUM(G92:P92)</f>
        <v>0</v>
      </c>
    </row>
    <row r="93" spans="4:17" x14ac:dyDescent="0.25">
      <c r="D93" s="45" t="s">
        <v>88</v>
      </c>
      <c r="G93" s="64">
        <f>Q31-SUM(I93:P93)</f>
        <v>0</v>
      </c>
      <c r="H93" s="64"/>
      <c r="I93" s="64">
        <f>$Q$31*0.015</f>
        <v>0</v>
      </c>
      <c r="J93" s="64">
        <f>$Q$31*0.015</f>
        <v>0</v>
      </c>
      <c r="K93" s="64">
        <f>$Q$31*0.015</f>
        <v>0</v>
      </c>
      <c r="L93" s="64">
        <f>$Q$31*0.015</f>
        <v>0</v>
      </c>
      <c r="M93" s="64"/>
      <c r="N93" s="64">
        <f>$Q$31*0.04</f>
        <v>0</v>
      </c>
      <c r="O93" s="64"/>
      <c r="P93" s="64"/>
      <c r="Q93" s="48">
        <f t="shared" ref="Q93:Q98" si="7">SUM(G93:P93)</f>
        <v>0</v>
      </c>
    </row>
    <row r="94" spans="4:17" x14ac:dyDescent="0.25">
      <c r="D94" s="45" t="s">
        <v>189</v>
      </c>
      <c r="G94" s="64">
        <f>Q37-SUM(I94:P94)</f>
        <v>0</v>
      </c>
      <c r="H94" s="64"/>
      <c r="I94" s="64">
        <f>$Q$35*0.04</f>
        <v>0</v>
      </c>
      <c r="J94" s="64">
        <f>$Q$35*0.12</f>
        <v>0</v>
      </c>
      <c r="K94" s="64">
        <f>$Q$35*0.22</f>
        <v>0</v>
      </c>
      <c r="L94" s="64">
        <f>$Q$35*0.34</f>
        <v>0</v>
      </c>
      <c r="M94" s="64"/>
      <c r="N94" s="64">
        <f>$Q$35*0.28</f>
        <v>0</v>
      </c>
      <c r="O94" s="64"/>
      <c r="P94" s="64"/>
      <c r="Q94" s="48">
        <f t="shared" si="7"/>
        <v>0</v>
      </c>
    </row>
    <row r="95" spans="4:17" x14ac:dyDescent="0.25">
      <c r="D95" s="45" t="s">
        <v>190</v>
      </c>
      <c r="G95" s="64">
        <f>$Q$45-SUM(I95:P95)</f>
        <v>0</v>
      </c>
      <c r="H95" s="64"/>
      <c r="I95" s="64"/>
      <c r="J95" s="64"/>
      <c r="K95" s="64"/>
      <c r="L95" s="64"/>
      <c r="M95" s="64"/>
      <c r="N95" s="64"/>
      <c r="O95" s="64"/>
      <c r="P95" s="64"/>
      <c r="Q95" s="48">
        <f t="shared" si="7"/>
        <v>0</v>
      </c>
    </row>
    <row r="96" spans="4:17" x14ac:dyDescent="0.25">
      <c r="D96" s="45" t="s">
        <v>203</v>
      </c>
      <c r="G96" s="64">
        <f>Q51</f>
        <v>0</v>
      </c>
      <c r="H96" s="64"/>
      <c r="I96" s="64"/>
      <c r="J96" s="64"/>
      <c r="K96" s="64"/>
      <c r="L96" s="64"/>
      <c r="M96" s="64"/>
      <c r="N96" s="64"/>
      <c r="O96" s="64"/>
      <c r="P96" s="64"/>
      <c r="Q96" s="48">
        <f t="shared" si="7"/>
        <v>0</v>
      </c>
    </row>
    <row r="97" spans="1:17" x14ac:dyDescent="0.25">
      <c r="D97" s="45" t="s">
        <v>191</v>
      </c>
      <c r="G97" s="64">
        <f>SUM(Q53:Q55)</f>
        <v>0</v>
      </c>
      <c r="H97" s="64"/>
      <c r="I97" s="64"/>
      <c r="J97" s="64"/>
      <c r="K97" s="64"/>
      <c r="L97" s="64"/>
      <c r="M97" s="64"/>
      <c r="N97" s="64"/>
      <c r="O97" s="64"/>
      <c r="P97" s="64"/>
      <c r="Q97" s="48">
        <f t="shared" si="7"/>
        <v>0</v>
      </c>
    </row>
    <row r="98" spans="1:17" x14ac:dyDescent="0.25">
      <c r="D98" s="45" t="s">
        <v>204</v>
      </c>
      <c r="G98" s="64">
        <f>Q56</f>
        <v>0</v>
      </c>
      <c r="H98" s="64"/>
      <c r="I98" s="64"/>
      <c r="J98" s="64"/>
      <c r="K98" s="64"/>
      <c r="L98" s="64"/>
      <c r="M98" s="64"/>
      <c r="N98" s="64">
        <f>SUM(Q56:Q57)-SUM(G98:L98,P98)</f>
        <v>0</v>
      </c>
      <c r="O98" s="64"/>
      <c r="P98" s="64"/>
      <c r="Q98" s="48">
        <f t="shared" si="7"/>
        <v>0</v>
      </c>
    </row>
    <row r="99" spans="1:17" x14ac:dyDescent="0.25">
      <c r="D99" s="45"/>
      <c r="G99" s="64"/>
      <c r="H99" s="64"/>
      <c r="I99" s="64"/>
      <c r="J99" s="64"/>
      <c r="K99" s="64"/>
      <c r="L99" s="64"/>
      <c r="M99" s="64"/>
      <c r="N99" s="64"/>
      <c r="O99" s="64"/>
      <c r="P99" s="64"/>
      <c r="Q99" s="48"/>
    </row>
    <row r="100" spans="1:17" x14ac:dyDescent="0.25">
      <c r="D100" s="59" t="s">
        <v>195</v>
      </c>
      <c r="G100" s="64">
        <f>SUM(G92:G98)</f>
        <v>0</v>
      </c>
      <c r="H100" s="64"/>
      <c r="I100" s="64">
        <f>SUM(I92:I98)</f>
        <v>0</v>
      </c>
      <c r="J100" s="64">
        <f>SUM(J92:J98)</f>
        <v>0</v>
      </c>
      <c r="K100" s="64">
        <f>SUM(K92:K98)</f>
        <v>0</v>
      </c>
      <c r="L100" s="64">
        <f>SUM(L92:L98)</f>
        <v>0</v>
      </c>
      <c r="M100" s="64"/>
      <c r="N100" s="64">
        <f>SUM(N92:N98)</f>
        <v>0</v>
      </c>
      <c r="O100" s="64"/>
      <c r="P100" s="64">
        <f>SUM(P92:P98)</f>
        <v>0</v>
      </c>
      <c r="Q100" s="48">
        <f>SUM(Q92:Q98)</f>
        <v>0</v>
      </c>
    </row>
    <row r="101" spans="1:17" x14ac:dyDescent="0.25">
      <c r="D101" s="45"/>
      <c r="G101" s="64"/>
      <c r="H101" s="64"/>
      <c r="I101" s="64"/>
      <c r="J101" s="64"/>
      <c r="K101" s="64"/>
      <c r="L101" s="64"/>
      <c r="M101" s="64"/>
      <c r="N101" s="64"/>
      <c r="O101" s="64"/>
      <c r="P101" s="64"/>
      <c r="Q101" s="48"/>
    </row>
    <row r="102" spans="1:17" x14ac:dyDescent="0.25">
      <c r="D102" s="45" t="s">
        <v>193</v>
      </c>
      <c r="G102" s="64"/>
      <c r="H102" s="64"/>
      <c r="I102" s="64"/>
      <c r="J102" s="64"/>
      <c r="K102" s="64"/>
      <c r="L102" s="64"/>
      <c r="M102" s="64"/>
      <c r="N102" s="64">
        <f>SUM(G72:L72)</f>
        <v>0</v>
      </c>
      <c r="O102" s="64"/>
      <c r="P102" s="64"/>
      <c r="Q102" s="48">
        <f>ROUND(SUM(G102:P102),-4)</f>
        <v>0</v>
      </c>
    </row>
    <row r="103" spans="1:17" x14ac:dyDescent="0.25">
      <c r="D103" s="45" t="s">
        <v>194</v>
      </c>
      <c r="G103" s="64"/>
      <c r="H103" s="64"/>
      <c r="I103" s="64"/>
      <c r="J103" s="64"/>
      <c r="K103" s="64"/>
      <c r="L103" s="64"/>
      <c r="M103" s="64"/>
      <c r="N103" s="64">
        <f>SUM(G79:L82)</f>
        <v>0</v>
      </c>
      <c r="O103" s="64"/>
      <c r="P103" s="64"/>
      <c r="Q103" s="48">
        <f t="shared" ref="Q103" si="8">SUM(G103:P103)</f>
        <v>0</v>
      </c>
    </row>
    <row r="104" spans="1:17" x14ac:dyDescent="0.25">
      <c r="D104" s="45"/>
      <c r="G104" s="64"/>
      <c r="H104" s="64"/>
      <c r="I104" s="64"/>
      <c r="J104" s="64"/>
      <c r="K104" s="64"/>
      <c r="L104" s="64"/>
      <c r="M104" s="64"/>
      <c r="N104" s="64"/>
      <c r="O104" s="64"/>
      <c r="P104" s="64"/>
      <c r="Q104" s="48"/>
    </row>
    <row r="105" spans="1:17" x14ac:dyDescent="0.25">
      <c r="D105" s="59" t="s">
        <v>192</v>
      </c>
      <c r="G105" s="64">
        <f>SUM(G100:G103)</f>
        <v>0</v>
      </c>
      <c r="H105" s="64"/>
      <c r="I105" s="64">
        <f>SUM(I100:I103)</f>
        <v>0</v>
      </c>
      <c r="J105" s="64">
        <f>SUM(J100:J103)</f>
        <v>0</v>
      </c>
      <c r="K105" s="64">
        <f>SUM(K100:K103)</f>
        <v>0</v>
      </c>
      <c r="L105" s="64">
        <f>SUM(L100:L103)</f>
        <v>0</v>
      </c>
      <c r="M105" s="64"/>
      <c r="N105" s="64">
        <f>SUM(N100:N103)</f>
        <v>0</v>
      </c>
      <c r="O105" s="64"/>
      <c r="P105" s="64"/>
      <c r="Q105" s="48">
        <f>SUM(Q100:Q103)</f>
        <v>0</v>
      </c>
    </row>
    <row r="106" spans="1:17" x14ac:dyDescent="0.25">
      <c r="D106" s="45"/>
      <c r="G106" s="64"/>
      <c r="H106" s="64"/>
      <c r="I106" s="64"/>
      <c r="J106" s="64"/>
      <c r="K106" s="64"/>
      <c r="L106" s="64"/>
      <c r="M106" s="64"/>
      <c r="N106" s="64"/>
      <c r="O106" s="64"/>
      <c r="P106" s="64"/>
      <c r="Q106" s="48"/>
    </row>
    <row r="107" spans="1:17" x14ac:dyDescent="0.25">
      <c r="D107" s="43" t="s">
        <v>196</v>
      </c>
      <c r="E107" s="27"/>
      <c r="F107" s="27"/>
      <c r="G107" s="61">
        <f>G88-G105</f>
        <v>0</v>
      </c>
      <c r="H107" s="61"/>
      <c r="I107" s="61">
        <f>I88-I105</f>
        <v>0</v>
      </c>
      <c r="J107" s="61">
        <f>J88-J105</f>
        <v>0</v>
      </c>
      <c r="K107" s="61">
        <f>K88-K105</f>
        <v>0</v>
      </c>
      <c r="L107" s="61">
        <f>L88-L105</f>
        <v>0</v>
      </c>
      <c r="M107" s="61"/>
      <c r="N107" s="61">
        <f>N88-N105</f>
        <v>0</v>
      </c>
      <c r="O107" s="61"/>
      <c r="P107" s="61">
        <f>P88-P105</f>
        <v>0</v>
      </c>
      <c r="Q107" s="65">
        <f>Q88-Q105</f>
        <v>0</v>
      </c>
    </row>
    <row r="109" spans="1:17" x14ac:dyDescent="0.25">
      <c r="D109" s="187" t="s">
        <v>206</v>
      </c>
      <c r="E109" s="188"/>
      <c r="F109" s="188"/>
      <c r="G109" s="188"/>
      <c r="H109" s="188"/>
      <c r="I109" s="188"/>
      <c r="J109" s="188"/>
      <c r="K109" s="188"/>
      <c r="L109" s="188"/>
      <c r="M109" s="188"/>
      <c r="N109" s="188"/>
      <c r="O109" s="188"/>
      <c r="P109" s="188"/>
      <c r="Q109" s="189"/>
    </row>
    <row r="110" spans="1:17" x14ac:dyDescent="0.25">
      <c r="D110" s="81" t="s">
        <v>63</v>
      </c>
      <c r="E110" s="56"/>
      <c r="F110" s="56"/>
      <c r="G110" s="56" t="s">
        <v>64</v>
      </c>
      <c r="H110" s="56"/>
      <c r="I110" s="58" t="s">
        <v>68</v>
      </c>
      <c r="J110" s="58"/>
      <c r="K110" s="56" t="s">
        <v>65</v>
      </c>
      <c r="L110" s="56" t="s">
        <v>207</v>
      </c>
      <c r="M110" s="56" t="s">
        <v>67</v>
      </c>
      <c r="N110" s="56" t="s">
        <v>208</v>
      </c>
      <c r="O110" s="58" t="s">
        <v>209</v>
      </c>
      <c r="P110" s="58"/>
      <c r="Q110" s="91"/>
    </row>
    <row r="111" spans="1:17" x14ac:dyDescent="0.25">
      <c r="D111" s="45"/>
      <c r="O111" s="2" t="s">
        <v>210</v>
      </c>
      <c r="P111" s="2" t="s">
        <v>212</v>
      </c>
      <c r="Q111" s="50" t="s">
        <v>211</v>
      </c>
    </row>
    <row r="112" spans="1:17" x14ac:dyDescent="0.25">
      <c r="A112" s="2" t="str">
        <f>IF(OR(LEFT(D112,2)="MH",LEFT(D112,12)="MaineHousing",LEFT(D112,13)="Maine Housing"),"MH","Other")</f>
        <v>MH</v>
      </c>
      <c r="D112" s="45" t="str">
        <f>D74</f>
        <v xml:space="preserve">MaineHousing - </v>
      </c>
      <c r="G112" s="68">
        <f>Q74</f>
        <v>0</v>
      </c>
      <c r="I112" s="2" t="str">
        <f>IF('Sources of Funds'!H23="","",'Sources of Funds'!H23)</f>
        <v>Interest Only</v>
      </c>
      <c r="K112" s="116">
        <f>'Sources of Funds'!E23</f>
        <v>0.06</v>
      </c>
      <c r="L112" s="60">
        <f>'Sources of Funds'!F23</f>
        <v>0</v>
      </c>
      <c r="M112" s="60">
        <f>'Sources of Funds'!G23</f>
        <v>30</v>
      </c>
      <c r="N112" s="6" t="str">
        <f>IF(G112&gt;0,IF(AND(K112&gt;0,LEFT(D112,12)="MaineHousing"),"1st",IF(LEFT(D112,12)="MaineHousing","2nd","3rd")),"")</f>
        <v/>
      </c>
      <c r="O112" s="68">
        <f>'Sources of Funds'!J23</f>
        <v>0</v>
      </c>
      <c r="P112" s="68">
        <f t="shared" ref="P112:P119" si="9">IF(M112&gt;5,O112,0)</f>
        <v>0</v>
      </c>
      <c r="Q112" s="92">
        <f>IF(M112&gt;15,P112,0)</f>
        <v>0</v>
      </c>
    </row>
    <row r="113" spans="1:18" x14ac:dyDescent="0.25">
      <c r="A113" s="2" t="str">
        <f t="shared" ref="A113:A119" si="10">IF(OR(LEFT(D113,2)="MH",LEFT(D113,12)="MaineHousing",LEFT(D113,13)="Maine Housing"),"MH","Other")</f>
        <v>MH</v>
      </c>
      <c r="D113" s="45" t="str">
        <f>D75</f>
        <v xml:space="preserve">MaineHousing - </v>
      </c>
      <c r="G113" s="68">
        <f>Q75</f>
        <v>0</v>
      </c>
      <c r="I113" s="2" t="str">
        <f>IF('Sources of Funds'!H24="","",'Sources of Funds'!H24)</f>
        <v>Interest Only</v>
      </c>
      <c r="K113" s="116">
        <f>'Sources of Funds'!E24</f>
        <v>0.06</v>
      </c>
      <c r="L113" s="60">
        <f>'Sources of Funds'!F24</f>
        <v>0</v>
      </c>
      <c r="M113" s="60">
        <f>'Sources of Funds'!G24</f>
        <v>30</v>
      </c>
      <c r="N113" s="6" t="str">
        <f t="shared" ref="N113:N119" si="11">IF(G113&gt;0,IF(AND(K113&gt;0,LEFT(D113,12)="MaineHousing"),"1st",IF(LEFT(D113,12)="MaineHousing","2nd","3rd")),"")</f>
        <v/>
      </c>
      <c r="O113" s="68">
        <f>'Sources of Funds'!J24</f>
        <v>0</v>
      </c>
      <c r="P113" s="68">
        <f t="shared" si="9"/>
        <v>0</v>
      </c>
      <c r="Q113" s="92">
        <f t="shared" ref="Q113:Q118" si="12">IF(M113&gt;15,P113,0)</f>
        <v>0</v>
      </c>
    </row>
    <row r="114" spans="1:18" x14ac:dyDescent="0.25">
      <c r="A114" s="2" t="str">
        <f t="shared" si="10"/>
        <v>MH</v>
      </c>
      <c r="D114" s="45" t="str">
        <f>D76</f>
        <v xml:space="preserve">MaineHousing - </v>
      </c>
      <c r="G114" s="68">
        <f>Q76</f>
        <v>0</v>
      </c>
      <c r="I114" s="2" t="str">
        <f>IF('Sources of Funds'!H25="","",'Sources of Funds'!H25)</f>
        <v>Deferred</v>
      </c>
      <c r="K114" s="116">
        <f>'Sources of Funds'!E25</f>
        <v>0</v>
      </c>
      <c r="L114" s="60">
        <f>'Sources of Funds'!F25</f>
        <v>0</v>
      </c>
      <c r="M114" s="60">
        <f>'Sources of Funds'!G25</f>
        <v>30</v>
      </c>
      <c r="N114" s="6" t="str">
        <f t="shared" si="11"/>
        <v/>
      </c>
      <c r="O114" s="68">
        <f>'Sources of Funds'!J25</f>
        <v>0</v>
      </c>
      <c r="P114" s="68">
        <f t="shared" si="9"/>
        <v>0</v>
      </c>
      <c r="Q114" s="92">
        <f t="shared" si="12"/>
        <v>0</v>
      </c>
    </row>
    <row r="115" spans="1:18" x14ac:dyDescent="0.25">
      <c r="A115" s="2" t="str">
        <f t="shared" si="10"/>
        <v>MH</v>
      </c>
      <c r="D115" s="45" t="str">
        <f>D77</f>
        <v xml:space="preserve">MaineHousing - </v>
      </c>
      <c r="G115" s="68">
        <f>Q77</f>
        <v>0</v>
      </c>
      <c r="I115" s="2" t="str">
        <f>IF('Sources of Funds'!H26="","",'Sources of Funds'!H26)</f>
        <v>Deferred</v>
      </c>
      <c r="K115" s="116">
        <f>'Sources of Funds'!E26</f>
        <v>0</v>
      </c>
      <c r="L115" s="60">
        <f>'Sources of Funds'!F26</f>
        <v>0</v>
      </c>
      <c r="M115" s="60">
        <f>'Sources of Funds'!G26</f>
        <v>30</v>
      </c>
      <c r="N115" s="6" t="str">
        <f t="shared" si="11"/>
        <v/>
      </c>
      <c r="O115" s="68">
        <f>'Sources of Funds'!J26</f>
        <v>0</v>
      </c>
      <c r="P115" s="68">
        <f t="shared" si="9"/>
        <v>0</v>
      </c>
      <c r="Q115" s="92">
        <f t="shared" si="12"/>
        <v>0</v>
      </c>
    </row>
    <row r="116" spans="1:18" x14ac:dyDescent="0.25">
      <c r="A116" s="2" t="str">
        <f t="shared" si="10"/>
        <v>Other</v>
      </c>
      <c r="D116" s="45" t="str">
        <f>D83</f>
        <v xml:space="preserve"> - </v>
      </c>
      <c r="G116" s="68">
        <f>Q83</f>
        <v>0</v>
      </c>
      <c r="I116" s="2" t="str">
        <f>IF('Sources of Funds'!H28="","",'Sources of Funds'!H28)</f>
        <v/>
      </c>
      <c r="K116" s="116">
        <f>'Sources of Funds'!E28</f>
        <v>0</v>
      </c>
      <c r="L116" s="60">
        <f>'Sources of Funds'!F28</f>
        <v>0</v>
      </c>
      <c r="M116" s="60">
        <f>'Sources of Funds'!G28</f>
        <v>0</v>
      </c>
      <c r="N116" s="6" t="str">
        <f t="shared" si="11"/>
        <v/>
      </c>
      <c r="O116" s="68">
        <f>'Sources of Funds'!J28</f>
        <v>0</v>
      </c>
      <c r="P116" s="68">
        <f t="shared" si="9"/>
        <v>0</v>
      </c>
      <c r="Q116" s="92">
        <f t="shared" si="12"/>
        <v>0</v>
      </c>
    </row>
    <row r="117" spans="1:18" x14ac:dyDescent="0.25">
      <c r="A117" s="2" t="str">
        <f t="shared" si="10"/>
        <v>Other</v>
      </c>
      <c r="D117" s="45" t="str">
        <f>D84</f>
        <v xml:space="preserve"> - </v>
      </c>
      <c r="G117" s="68">
        <f>Q84</f>
        <v>0</v>
      </c>
      <c r="I117" s="2" t="str">
        <f>IF('Sources of Funds'!H29="","",'Sources of Funds'!H29)</f>
        <v/>
      </c>
      <c r="K117" s="116">
        <f>'Sources of Funds'!E28</f>
        <v>0</v>
      </c>
      <c r="L117" s="60">
        <f>'Sources of Funds'!F29</f>
        <v>0</v>
      </c>
      <c r="M117" s="60">
        <f>'Sources of Funds'!G29</f>
        <v>0</v>
      </c>
      <c r="N117" s="6" t="str">
        <f t="shared" si="11"/>
        <v/>
      </c>
      <c r="O117" s="68">
        <f>'Sources of Funds'!J29</f>
        <v>0</v>
      </c>
      <c r="P117" s="68">
        <f t="shared" si="9"/>
        <v>0</v>
      </c>
      <c r="Q117" s="92">
        <f t="shared" si="12"/>
        <v>0</v>
      </c>
    </row>
    <row r="118" spans="1:18" x14ac:dyDescent="0.25">
      <c r="A118" s="2" t="str">
        <f t="shared" si="10"/>
        <v>Other</v>
      </c>
      <c r="D118" s="45" t="str">
        <f>D85</f>
        <v xml:space="preserve"> - </v>
      </c>
      <c r="G118" s="68">
        <f>Q85</f>
        <v>0</v>
      </c>
      <c r="I118" s="2" t="str">
        <f>IF('Sources of Funds'!H30="","",'Sources of Funds'!H30)</f>
        <v/>
      </c>
      <c r="K118" s="116">
        <f>'Sources of Funds'!E29</f>
        <v>0</v>
      </c>
      <c r="L118" s="60">
        <f>'Sources of Funds'!F30</f>
        <v>0</v>
      </c>
      <c r="M118" s="60">
        <f>'Sources of Funds'!G30</f>
        <v>0</v>
      </c>
      <c r="N118" s="6" t="str">
        <f t="shared" si="11"/>
        <v/>
      </c>
      <c r="O118" s="68">
        <f>'Sources of Funds'!J30</f>
        <v>0</v>
      </c>
      <c r="P118" s="68">
        <f t="shared" si="9"/>
        <v>0</v>
      </c>
      <c r="Q118" s="92">
        <f t="shared" si="12"/>
        <v>0</v>
      </c>
    </row>
    <row r="119" spans="1:18" x14ac:dyDescent="0.25">
      <c r="A119" s="2" t="str">
        <f t="shared" si="10"/>
        <v>Other</v>
      </c>
      <c r="D119" s="45" t="str">
        <f>D86</f>
        <v xml:space="preserve"> - </v>
      </c>
      <c r="G119" s="68">
        <f>Q86</f>
        <v>0</v>
      </c>
      <c r="I119" s="2" t="str">
        <f>IF('Sources of Funds'!H31="","",'Sources of Funds'!H31)</f>
        <v/>
      </c>
      <c r="K119" s="116">
        <f>'Sources of Funds'!E30</f>
        <v>0</v>
      </c>
      <c r="L119" s="60">
        <f>'Sources of Funds'!F31</f>
        <v>0</v>
      </c>
      <c r="M119" s="60">
        <f>'Sources of Funds'!G31</f>
        <v>0</v>
      </c>
      <c r="N119" s="6" t="str">
        <f t="shared" si="11"/>
        <v/>
      </c>
      <c r="O119" s="68">
        <f>'Sources of Funds'!J31</f>
        <v>0</v>
      </c>
      <c r="P119" s="68">
        <f t="shared" si="9"/>
        <v>0</v>
      </c>
      <c r="Q119" s="92">
        <f>IF(M119&gt;15,P119,0)</f>
        <v>0</v>
      </c>
    </row>
    <row r="120" spans="1:18" x14ac:dyDescent="0.25">
      <c r="D120" s="45" t="str">
        <f>D70</f>
        <v>Capital Contributions</v>
      </c>
      <c r="G120" s="68">
        <f>Q70</f>
        <v>0</v>
      </c>
      <c r="Q120" s="50"/>
    </row>
    <row r="121" spans="1:18" x14ac:dyDescent="0.25">
      <c r="D121" s="45"/>
      <c r="Q121" s="50"/>
    </row>
    <row r="122" spans="1:18" x14ac:dyDescent="0.25">
      <c r="D122" s="45" t="s">
        <v>213</v>
      </c>
      <c r="G122" s="68">
        <f>G124-SUM(G112:G120)</f>
        <v>0</v>
      </c>
      <c r="Q122" s="50"/>
    </row>
    <row r="123" spans="1:18" x14ac:dyDescent="0.25">
      <c r="D123" s="45"/>
      <c r="Q123" s="50"/>
    </row>
    <row r="124" spans="1:18" x14ac:dyDescent="0.25">
      <c r="D124" s="43" t="s">
        <v>19</v>
      </c>
      <c r="E124" s="27"/>
      <c r="F124" s="27"/>
      <c r="G124" s="113">
        <f>Q60</f>
        <v>0</v>
      </c>
      <c r="H124" s="27"/>
      <c r="I124" s="27"/>
      <c r="J124" s="27"/>
      <c r="K124" s="27"/>
      <c r="L124" s="27"/>
      <c r="M124" s="27"/>
      <c r="N124" s="27"/>
      <c r="O124" s="27"/>
      <c r="P124" s="27"/>
      <c r="Q124" s="44"/>
    </row>
    <row r="126" spans="1:18" x14ac:dyDescent="0.25">
      <c r="R126" s="2" t="str">
        <f>R62</f>
        <v>-</v>
      </c>
    </row>
    <row r="128" spans="1:18" x14ac:dyDescent="0.25">
      <c r="D128" s="78" t="s">
        <v>318</v>
      </c>
      <c r="E128" s="52"/>
      <c r="F128" s="101" t="s">
        <v>321</v>
      </c>
      <c r="G128" s="101" t="s">
        <v>322</v>
      </c>
      <c r="H128" s="126" t="s">
        <v>323</v>
      </c>
      <c r="J128" s="191" t="s">
        <v>346</v>
      </c>
      <c r="K128" s="191"/>
      <c r="L128" s="191"/>
      <c r="M128" s="191"/>
      <c r="O128" s="57" t="s">
        <v>235</v>
      </c>
      <c r="P128" s="58"/>
      <c r="Q128" s="95">
        <f>'Sources of Funds'!D38</f>
        <v>0</v>
      </c>
    </row>
    <row r="129" spans="4:17" x14ac:dyDescent="0.25">
      <c r="D129" s="45" t="s">
        <v>114</v>
      </c>
      <c r="F129" s="60">
        <f>SUMIFS($G$112:$G$119,$A$112:$A$119,"MH",$N$112:$N$119,F$128)</f>
        <v>0</v>
      </c>
      <c r="G129" s="60">
        <f>SUMIFS($G$112:$G$119,$A$112:$A$119,"MH",$N$112:$N$119,G$128)</f>
        <v>0</v>
      </c>
      <c r="H129" s="48">
        <f>SUMIFS($G$112:$G$119,$A$112:$A$119,"MH")-SUM(F129:G129)</f>
        <v>0</v>
      </c>
      <c r="J129" s="192" t="s">
        <v>19</v>
      </c>
      <c r="K129" s="193"/>
      <c r="L129" s="196">
        <f>SUMIFS($G$112:$G$119,$A$112:$A$119,"MH",$K$112:$K$119,0)</f>
        <v>0</v>
      </c>
      <c r="M129" s="197"/>
      <c r="O129" s="45" t="s">
        <v>236</v>
      </c>
      <c r="Q129" s="140">
        <f>'Sources of Funds'!D40</f>
        <v>0</v>
      </c>
    </row>
    <row r="130" spans="4:17" x14ac:dyDescent="0.25">
      <c r="D130" s="45" t="s">
        <v>76</v>
      </c>
      <c r="F130" s="60">
        <f>SUMIFS($G$112:$G$119,$A$112:$A$119,"Other",$N$112:$N$119,F$128)</f>
        <v>0</v>
      </c>
      <c r="G130" s="60">
        <f>SUMIFS($G$112:$G$119,$A$112:$A$119,"Other",$N$112:$N$119,G$128)</f>
        <v>0</v>
      </c>
      <c r="H130" s="48">
        <f>SUMIFS($G$112:$G$119,$A$112:$A$119,"Other")-SUM(F130:G130)</f>
        <v>0</v>
      </c>
      <c r="J130" s="194" t="s">
        <v>35</v>
      </c>
      <c r="K130" s="195"/>
      <c r="L130" s="198">
        <f>IF(K6&lt;1,0,L129/K6)</f>
        <v>0</v>
      </c>
      <c r="M130" s="199"/>
      <c r="O130" s="45" t="s">
        <v>237</v>
      </c>
      <c r="Q130" s="96" t="str">
        <f>IF('Sources of Funds'!D41="","-",'Sources of Funds'!D41)</f>
        <v>-</v>
      </c>
    </row>
    <row r="131" spans="4:17" x14ac:dyDescent="0.25">
      <c r="D131" s="45" t="s">
        <v>19</v>
      </c>
      <c r="F131" s="129">
        <f>SUM(F129:F130)</f>
        <v>0</v>
      </c>
      <c r="G131" s="129">
        <f>SUM(G129:G130)</f>
        <v>0</v>
      </c>
      <c r="H131" s="130">
        <f>SUM(H129:H130)</f>
        <v>0</v>
      </c>
      <c r="J131" s="137" t="s">
        <v>345</v>
      </c>
      <c r="K131" s="47"/>
      <c r="L131" s="200">
        <f>IF(K6&lt;1,0,L129/SUMIFS($F$155:$F$165,$E$155:$E$165,"&lt;&gt;"&amp;"Mkt"))</f>
        <v>0</v>
      </c>
      <c r="M131" s="201"/>
      <c r="O131" s="43" t="s">
        <v>238</v>
      </c>
      <c r="P131" s="27"/>
      <c r="Q131" s="85" t="str">
        <f>IF(Q130="-","-",Q128*Q129*Q130)</f>
        <v>-</v>
      </c>
    </row>
    <row r="132" spans="4:17" x14ac:dyDescent="0.25">
      <c r="D132" s="51" t="s">
        <v>319</v>
      </c>
      <c r="E132" s="52"/>
      <c r="F132" s="133">
        <f>J12</f>
        <v>0</v>
      </c>
      <c r="G132" s="133">
        <f>F132</f>
        <v>0</v>
      </c>
      <c r="H132" s="89">
        <f>G132</f>
        <v>0</v>
      </c>
    </row>
    <row r="133" spans="4:17" x14ac:dyDescent="0.25">
      <c r="D133" s="78" t="s">
        <v>320</v>
      </c>
      <c r="E133" s="52"/>
      <c r="F133" s="127" t="str">
        <f>IF(F132=0,"         -",SUM($F$131:F131)/F132)</f>
        <v xml:space="preserve">         -</v>
      </c>
      <c r="G133" s="127" t="str">
        <f>IF(G132=0,"         -",SUM($F$131:G131)/G132)</f>
        <v xml:space="preserve">         -</v>
      </c>
      <c r="H133" s="128" t="str">
        <f>IF(H132=0,"         -",SUM($F$131:H131)/H132)</f>
        <v xml:space="preserve">         -</v>
      </c>
      <c r="O133" s="57" t="s">
        <v>239</v>
      </c>
      <c r="P133" s="58"/>
      <c r="Q133" s="95">
        <f>'Sources of Funds'!F38</f>
        <v>0</v>
      </c>
    </row>
    <row r="134" spans="4:17" x14ac:dyDescent="0.25">
      <c r="O134" s="45" t="s">
        <v>236</v>
      </c>
      <c r="Q134" s="140">
        <f>'Sources of Funds'!F40</f>
        <v>0</v>
      </c>
    </row>
    <row r="135" spans="4:17" x14ac:dyDescent="0.25">
      <c r="O135" s="45" t="s">
        <v>237</v>
      </c>
      <c r="Q135" s="96" t="str">
        <f>IF('Sources of Funds'!F41="","-",'Sources of Funds'!F41)</f>
        <v>-</v>
      </c>
    </row>
    <row r="136" spans="4:17" x14ac:dyDescent="0.25">
      <c r="O136" s="43" t="s">
        <v>238</v>
      </c>
      <c r="P136" s="27"/>
      <c r="Q136" s="85" t="str">
        <f>IF(Q135="-","-",Q133*Q134*Q135)</f>
        <v>-</v>
      </c>
    </row>
    <row r="138" spans="4:17" x14ac:dyDescent="0.25">
      <c r="O138" s="78" t="s">
        <v>240</v>
      </c>
      <c r="P138" s="115"/>
      <c r="Q138" s="105">
        <f>SUM(Q131,Q136)</f>
        <v>0</v>
      </c>
    </row>
    <row r="152" spans="1:20" x14ac:dyDescent="0.25">
      <c r="D152" s="78" t="s">
        <v>216</v>
      </c>
      <c r="E152" s="52"/>
      <c r="F152" s="52"/>
      <c r="G152" s="52"/>
      <c r="H152" s="52"/>
      <c r="I152" s="52"/>
      <c r="J152" s="52"/>
      <c r="K152" s="52"/>
      <c r="L152" s="86"/>
      <c r="M152" s="53"/>
      <c r="O152" s="181" t="s">
        <v>242</v>
      </c>
      <c r="P152" s="182"/>
      <c r="Q152" s="182"/>
      <c r="R152" s="182"/>
      <c r="S152" s="182"/>
      <c r="T152" s="183"/>
    </row>
    <row r="153" spans="1:20" x14ac:dyDescent="0.25">
      <c r="D153" s="81"/>
      <c r="E153" s="56"/>
      <c r="F153" s="56"/>
      <c r="G153" s="56"/>
      <c r="H153" s="56" t="s">
        <v>219</v>
      </c>
      <c r="I153" s="56"/>
      <c r="J153" s="75" t="s">
        <v>221</v>
      </c>
      <c r="K153" s="56" t="s">
        <v>223</v>
      </c>
      <c r="L153" s="75" t="s">
        <v>227</v>
      </c>
      <c r="M153" s="63" t="s">
        <v>34</v>
      </c>
      <c r="O153" s="45"/>
      <c r="R153" s="2" t="s">
        <v>34</v>
      </c>
      <c r="S153" s="2" t="s">
        <v>34</v>
      </c>
      <c r="T153" s="50" t="s">
        <v>241</v>
      </c>
    </row>
    <row r="154" spans="1:20" x14ac:dyDescent="0.25">
      <c r="D154" s="74" t="s">
        <v>7</v>
      </c>
      <c r="E154" s="66" t="s">
        <v>132</v>
      </c>
      <c r="F154" s="66" t="s">
        <v>217</v>
      </c>
      <c r="G154" s="66" t="s">
        <v>2</v>
      </c>
      <c r="H154" s="66" t="s">
        <v>218</v>
      </c>
      <c r="I154" s="66" t="s">
        <v>220</v>
      </c>
      <c r="J154" s="77" t="s">
        <v>222</v>
      </c>
      <c r="K154" s="66" t="s">
        <v>171</v>
      </c>
      <c r="L154" s="77" t="s">
        <v>171</v>
      </c>
      <c r="M154" s="83" t="s">
        <v>171</v>
      </c>
      <c r="O154" s="43"/>
      <c r="P154" s="27"/>
      <c r="Q154" s="27"/>
      <c r="R154" s="27"/>
      <c r="S154" s="27" t="s">
        <v>35</v>
      </c>
      <c r="T154" s="44" t="s">
        <v>35</v>
      </c>
    </row>
    <row r="155" spans="1:20" x14ac:dyDescent="0.25">
      <c r="A155" s="2">
        <f>IF(COUNT('Operating Budget'!E21:E31)&lt;=5,0,1)</f>
        <v>0</v>
      </c>
      <c r="D155" s="67" t="str">
        <f>_xlfn.IFNA(IF($A155=0,"-",VLOOKUP($A155,'Operating Budget'!$C$21:$L$31,3,FALSE) &amp; " BR"),"-")</f>
        <v>-</v>
      </c>
      <c r="E155" s="134" t="str">
        <f>_xlfn.IFNA(IF($A155=0,"-",VLOOKUP($A155,'Operating Budget'!$C$21:$L$31,5,FALSE)),"-")</f>
        <v>-</v>
      </c>
      <c r="F155" s="6" t="str">
        <f>_xlfn.IFNA(IF($A155=0,"-",VLOOKUP($A155,'Operating Budget'!$C$21:$L$31,4,FALSE)),"-")</f>
        <v>-</v>
      </c>
      <c r="G155" s="6" t="str">
        <f>_xlfn.IFNA(IF($A155=0,"-",VLOOKUP($A155,'Operating Budget'!$C$21:$L$31,6,FALSE)),"-")</f>
        <v>-</v>
      </c>
      <c r="H155" s="6" t="str">
        <f>_xlfn.IFNA(IF($A155=0,"-",VLOOKUP($A155,'Operating Budget'!$C$21:$L$31,7,FALSE)),"-")</f>
        <v>-</v>
      </c>
      <c r="I155" s="6" t="str">
        <f>_xlfn.IFNA(IF($A155=0,"-",VLOOKUP($A155,'Operating Budget'!$C$21:$L$31,8,FALSE)),"-")</f>
        <v>-</v>
      </c>
      <c r="J155" s="76" t="str">
        <f>_xlfn.IFNA(IF(OR(K155=0,K155="-"),I155,IF(K155&lt;I155,K155,I155)),"-")</f>
        <v>-</v>
      </c>
      <c r="K155" s="6" t="str">
        <f>_xlfn.IFNA(IF($A155=0,"-",VLOOKUP($A155,'Operating Budget'!$C$21:$L$31,10,FALSE)),"-")</f>
        <v>-</v>
      </c>
      <c r="L155" s="87" t="str">
        <f>IFERROR(J155*F155,"-")</f>
        <v>-</v>
      </c>
      <c r="M155" s="84" t="str">
        <f t="shared" ref="M155:M165" si="13">IF(F155="-","-",F155*J155*12)</f>
        <v>-</v>
      </c>
      <c r="O155" s="99" t="s">
        <v>243</v>
      </c>
      <c r="Q155" s="106"/>
      <c r="R155" s="60">
        <f>'Operating Budget'!J51</f>
        <v>0</v>
      </c>
      <c r="S155" s="60">
        <f>IF($F$166="-",0,R155/$F$166)</f>
        <v>0</v>
      </c>
      <c r="T155" s="48">
        <f>S155/12</f>
        <v>0</v>
      </c>
    </row>
    <row r="156" spans="1:20" x14ac:dyDescent="0.25">
      <c r="A156" s="2">
        <f>IF(A155=1,2,1)</f>
        <v>1</v>
      </c>
      <c r="D156" s="67" t="str">
        <f>_xlfn.IFNA(IF($A156=0,"-",VLOOKUP($A156,'Operating Budget'!$C$21:$L$31,3,FALSE) &amp; " BR"),"-")</f>
        <v>-</v>
      </c>
      <c r="E156" s="134" t="str">
        <f>_xlfn.IFNA(IF($A156=0,"-",VLOOKUP($A156,'Operating Budget'!$C$21:$L$31,5,FALSE)),"-")</f>
        <v>-</v>
      </c>
      <c r="F156" s="6" t="str">
        <f>_xlfn.IFNA(IF($A156=0,"-",VLOOKUP($A156,'Operating Budget'!$C$21:$L$31,4,FALSE)),"-")</f>
        <v>-</v>
      </c>
      <c r="G156" s="6" t="str">
        <f>_xlfn.IFNA(IF($A156=0,"-",VLOOKUP($A156,'Operating Budget'!$C$21:$L$31,6,FALSE)),"-")</f>
        <v>-</v>
      </c>
      <c r="H156" s="6" t="str">
        <f>_xlfn.IFNA(IF($A156=0,"-",VLOOKUP($A156,'Operating Budget'!$C$21:$L$31,7,FALSE)),"-")</f>
        <v>-</v>
      </c>
      <c r="I156" s="6" t="str">
        <f>_xlfn.IFNA(IF($A156=0,"-",VLOOKUP($A156,'Operating Budget'!$C$21:$L$31,8,FALSE)),"-")</f>
        <v>-</v>
      </c>
      <c r="J156" s="76" t="str">
        <f t="shared" ref="J156:J165" si="14">_xlfn.IFNA(IF(OR(K156=0,K156="-"),I156,IF(K156&lt;I156,K156,I156)),"-")</f>
        <v>-</v>
      </c>
      <c r="K156" s="6" t="str">
        <f>_xlfn.IFNA(IF($A156=0,"-",VLOOKUP($A156,'Operating Budget'!$C$21:$L$31,10,FALSE)),"-")</f>
        <v>-</v>
      </c>
      <c r="L156" s="79" t="str">
        <f t="shared" ref="L156:L165" si="15">IFERROR(J156*F156,"-")</f>
        <v>-</v>
      </c>
      <c r="M156" s="84" t="str">
        <f t="shared" si="13"/>
        <v>-</v>
      </c>
      <c r="O156" s="99" t="s">
        <v>244</v>
      </c>
      <c r="Q156" s="106"/>
      <c r="R156" s="60">
        <f>'Operating Budget'!J52</f>
        <v>0</v>
      </c>
      <c r="S156" s="60">
        <f>IF($F$166="-",0,R156/$F$166)</f>
        <v>0</v>
      </c>
      <c r="T156" s="48">
        <f>S156/12</f>
        <v>0</v>
      </c>
    </row>
    <row r="157" spans="1:20" x14ac:dyDescent="0.25">
      <c r="A157" s="2">
        <f>IF(A156=1,0,3)</f>
        <v>0</v>
      </c>
      <c r="D157" s="67" t="str">
        <f>_xlfn.IFNA(IF($A157=0,"-",VLOOKUP($A157,'Operating Budget'!$C$21:$L$31,3,FALSE) &amp; " BR"),"-")</f>
        <v>-</v>
      </c>
      <c r="E157" s="134" t="str">
        <f>_xlfn.IFNA(IF($A157=0,"-",VLOOKUP($A157,'Operating Budget'!$C$21:$L$31,5,FALSE)),"-")</f>
        <v>-</v>
      </c>
      <c r="F157" s="6" t="str">
        <f>_xlfn.IFNA(IF($A157=0,"-",VLOOKUP($A157,'Operating Budget'!$C$21:$L$31,4,FALSE)),"-")</f>
        <v>-</v>
      </c>
      <c r="G157" s="6" t="str">
        <f>_xlfn.IFNA(IF($A157=0,"-",VLOOKUP($A157,'Operating Budget'!$C$21:$L$31,6,FALSE)),"-")</f>
        <v>-</v>
      </c>
      <c r="H157" s="6" t="str">
        <f>_xlfn.IFNA(IF($A157=0,"-",VLOOKUP($A157,'Operating Budget'!$C$21:$L$31,7,FALSE)),"-")</f>
        <v>-</v>
      </c>
      <c r="I157" s="6" t="str">
        <f>_xlfn.IFNA(IF($A157=0,"-",VLOOKUP($A157,'Operating Budget'!$C$21:$L$31,8,FALSE)),"-")</f>
        <v>-</v>
      </c>
      <c r="J157" s="76" t="str">
        <f t="shared" si="14"/>
        <v>-</v>
      </c>
      <c r="K157" s="6" t="str">
        <f>_xlfn.IFNA(IF($A157=0,"-",VLOOKUP($A157,'Operating Budget'!$C$21:$L$31,10,FALSE)),"-")</f>
        <v>-</v>
      </c>
      <c r="L157" s="79" t="str">
        <f t="shared" si="15"/>
        <v>-</v>
      </c>
      <c r="M157" s="84" t="str">
        <f t="shared" si="13"/>
        <v>-</v>
      </c>
      <c r="O157" s="99" t="s">
        <v>75</v>
      </c>
      <c r="Q157" s="106"/>
      <c r="R157" s="60">
        <f>'Operating Budget'!J53</f>
        <v>0</v>
      </c>
      <c r="S157" s="60">
        <f>IF($F$166="-",0,R157/$F$166)</f>
        <v>0</v>
      </c>
      <c r="T157" s="48">
        <f>S157/12</f>
        <v>0</v>
      </c>
    </row>
    <row r="158" spans="1:20" x14ac:dyDescent="0.25">
      <c r="A158" s="2">
        <f>IF(A157=3,4,2)</f>
        <v>2</v>
      </c>
      <c r="D158" s="67" t="str">
        <f>_xlfn.IFNA(IF($A158=0,"-",VLOOKUP($A158,'Operating Budget'!$C$21:$L$31,3,FALSE) &amp; " BR"),"-")</f>
        <v>-</v>
      </c>
      <c r="E158" s="134" t="str">
        <f>_xlfn.IFNA(IF($A158=0,"-",VLOOKUP($A158,'Operating Budget'!$C$21:$L$31,5,FALSE)),"-")</f>
        <v>-</v>
      </c>
      <c r="F158" s="6" t="str">
        <f>_xlfn.IFNA(IF($A158=0,"-",VLOOKUP($A158,'Operating Budget'!$C$21:$L$31,4,FALSE)),"-")</f>
        <v>-</v>
      </c>
      <c r="G158" s="6" t="str">
        <f>_xlfn.IFNA(IF($A158=0,"-",VLOOKUP($A158,'Operating Budget'!$C$21:$L$31,6,FALSE)),"-")</f>
        <v>-</v>
      </c>
      <c r="H158" s="6" t="str">
        <f>_xlfn.IFNA(IF($A158=0,"-",VLOOKUP($A158,'Operating Budget'!$C$21:$L$31,7,FALSE)),"-")</f>
        <v>-</v>
      </c>
      <c r="I158" s="6" t="str">
        <f>_xlfn.IFNA(IF($A158=0,"-",VLOOKUP($A158,'Operating Budget'!$C$21:$L$31,8,FALSE)),"-")</f>
        <v>-</v>
      </c>
      <c r="J158" s="76" t="str">
        <f t="shared" si="14"/>
        <v>-</v>
      </c>
      <c r="K158" s="6" t="str">
        <f>_xlfn.IFNA(IF($A158=0,"-",VLOOKUP($A158,'Operating Budget'!$C$21:$L$31,10,FALSE)),"-")</f>
        <v>-</v>
      </c>
      <c r="L158" s="79" t="str">
        <f t="shared" si="15"/>
        <v>-</v>
      </c>
      <c r="M158" s="84" t="str">
        <f t="shared" si="13"/>
        <v>-</v>
      </c>
      <c r="O158" s="99" t="s">
        <v>245</v>
      </c>
      <c r="Q158" s="106"/>
      <c r="R158" s="60">
        <f>'Operating Budget'!J54</f>
        <v>0</v>
      </c>
      <c r="S158" s="60">
        <f>IF($F$166="-",0,R158/$F$166)</f>
        <v>0</v>
      </c>
      <c r="T158" s="48">
        <f>S158/12</f>
        <v>0</v>
      </c>
    </row>
    <row r="159" spans="1:20" x14ac:dyDescent="0.25">
      <c r="A159" s="2">
        <f>IF(A158=2,0,5)</f>
        <v>0</v>
      </c>
      <c r="D159" s="67" t="str">
        <f>_xlfn.IFNA(IF($A159=0,"-",VLOOKUP($A159,'Operating Budget'!$C$21:$L$31,3,FALSE) &amp; " BR"),"-")</f>
        <v>-</v>
      </c>
      <c r="E159" s="134" t="str">
        <f>_xlfn.IFNA(IF($A159=0,"-",VLOOKUP($A159,'Operating Budget'!$C$21:$L$31,5,FALSE)),"-")</f>
        <v>-</v>
      </c>
      <c r="F159" s="6" t="str">
        <f>_xlfn.IFNA(IF($A159=0,"-",VLOOKUP($A159,'Operating Budget'!$C$21:$L$31,4,FALSE)),"-")</f>
        <v>-</v>
      </c>
      <c r="G159" s="6" t="str">
        <f>_xlfn.IFNA(IF($A159=0,"-",VLOOKUP($A159,'Operating Budget'!$C$21:$L$31,6,FALSE)),"-")</f>
        <v>-</v>
      </c>
      <c r="H159" s="6" t="str">
        <f>_xlfn.IFNA(IF($A159=0,"-",VLOOKUP($A159,'Operating Budget'!$C$21:$L$31,7,FALSE)),"-")</f>
        <v>-</v>
      </c>
      <c r="I159" s="6" t="str">
        <f>_xlfn.IFNA(IF($A159=0,"-",VLOOKUP($A159,'Operating Budget'!$C$21:$L$31,8,FALSE)),"-")</f>
        <v>-</v>
      </c>
      <c r="J159" s="76" t="str">
        <f t="shared" si="14"/>
        <v>-</v>
      </c>
      <c r="K159" s="6" t="str">
        <f>_xlfn.IFNA(IF($A159=0,"-",VLOOKUP($A159,'Operating Budget'!$C$21:$L$31,10,FALSE)),"-")</f>
        <v>-</v>
      </c>
      <c r="L159" s="79" t="str">
        <f t="shared" si="15"/>
        <v>-</v>
      </c>
      <c r="M159" s="84" t="str">
        <f t="shared" si="13"/>
        <v>-</v>
      </c>
      <c r="O159" s="99" t="s">
        <v>246</v>
      </c>
      <c r="Q159" s="106"/>
      <c r="R159" s="60">
        <f>'Operating Budget'!J55</f>
        <v>0</v>
      </c>
      <c r="S159" s="60">
        <f>IF($F$166="-",0,R159/$F$166)</f>
        <v>0</v>
      </c>
      <c r="T159" s="48">
        <f>S159/12</f>
        <v>0</v>
      </c>
    </row>
    <row r="160" spans="1:20" x14ac:dyDescent="0.25">
      <c r="A160" s="2">
        <f>IF(A159=5,6,3)</f>
        <v>3</v>
      </c>
      <c r="D160" s="67" t="str">
        <f>_xlfn.IFNA(IF($A160=0,"-",VLOOKUP($A160,'Operating Budget'!$C$21:$L$31,3,FALSE) &amp; " BR"),"-")</f>
        <v>-</v>
      </c>
      <c r="E160" s="134" t="str">
        <f>_xlfn.IFNA(IF($A160=0,"-",VLOOKUP($A160,'Operating Budget'!$C$21:$L$31,5,FALSE)),"-")</f>
        <v>-</v>
      </c>
      <c r="F160" s="6" t="str">
        <f>_xlfn.IFNA(IF($A160=0,"-",VLOOKUP($A160,'Operating Budget'!$C$21:$L$31,4,FALSE)),"-")</f>
        <v>-</v>
      </c>
      <c r="G160" s="6" t="str">
        <f>_xlfn.IFNA(IF($A160=0,"-",VLOOKUP($A160,'Operating Budget'!$C$21:$L$31,6,FALSE)),"-")</f>
        <v>-</v>
      </c>
      <c r="H160" s="6" t="str">
        <f>_xlfn.IFNA(IF($A160=0,"-",VLOOKUP($A160,'Operating Budget'!$C$21:$L$31,7,FALSE)),"-")</f>
        <v>-</v>
      </c>
      <c r="I160" s="6" t="str">
        <f>_xlfn.IFNA(IF($A160=0,"-",VLOOKUP($A160,'Operating Budget'!$C$21:$L$31,8,FALSE)),"-")</f>
        <v>-</v>
      </c>
      <c r="J160" s="76" t="str">
        <f t="shared" si="14"/>
        <v>-</v>
      </c>
      <c r="K160" s="6" t="str">
        <f>_xlfn.IFNA(IF($A160=0,"-",VLOOKUP($A160,'Operating Budget'!$C$21:$L$31,10,FALSE)),"-")</f>
        <v>-</v>
      </c>
      <c r="L160" s="79" t="str">
        <f t="shared" si="15"/>
        <v>-</v>
      </c>
      <c r="M160" s="84" t="str">
        <f t="shared" si="13"/>
        <v>-</v>
      </c>
      <c r="O160" s="100" t="s">
        <v>33</v>
      </c>
      <c r="P160" s="52"/>
      <c r="Q160" s="101"/>
      <c r="R160" s="102">
        <f>SUM(R155:R159)</f>
        <v>0</v>
      </c>
      <c r="S160" s="102">
        <f>SUM(S155:S159)</f>
        <v>0</v>
      </c>
      <c r="T160" s="103">
        <f>SUM(T155:T159)</f>
        <v>0</v>
      </c>
    </row>
    <row r="161" spans="1:20" x14ac:dyDescent="0.25">
      <c r="A161" s="2">
        <f>IF(A160=3,0,7)</f>
        <v>0</v>
      </c>
      <c r="D161" s="67" t="str">
        <f>_xlfn.IFNA(IF($A161=0,"-",VLOOKUP($A161,'Operating Budget'!$C$21:$L$31,3,FALSE) &amp; " BR"),"-")</f>
        <v>-</v>
      </c>
      <c r="E161" s="134" t="str">
        <f>_xlfn.IFNA(IF($A161=0,"-",VLOOKUP($A161,'Operating Budget'!$C$21:$L$31,5,FALSE)),"-")</f>
        <v>-</v>
      </c>
      <c r="F161" s="6" t="str">
        <f>_xlfn.IFNA(IF($A161=0,"-",VLOOKUP($A161,'Operating Budget'!$C$21:$L$31,4,FALSE)),"-")</f>
        <v>-</v>
      </c>
      <c r="G161" s="6" t="str">
        <f>_xlfn.IFNA(IF($A161=0,"-",VLOOKUP($A161,'Operating Budget'!$C$21:$L$31,6,FALSE)),"-")</f>
        <v>-</v>
      </c>
      <c r="H161" s="6" t="str">
        <f>_xlfn.IFNA(IF($A161=0,"-",VLOOKUP($A161,'Operating Budget'!$C$21:$L$31,7,FALSE)),"-")</f>
        <v>-</v>
      </c>
      <c r="I161" s="6" t="str">
        <f>_xlfn.IFNA(IF($A161=0,"-",VLOOKUP($A161,'Operating Budget'!$C$21:$L$31,8,FALSE)),"-")</f>
        <v>-</v>
      </c>
      <c r="J161" s="76" t="str">
        <f t="shared" si="14"/>
        <v>-</v>
      </c>
      <c r="K161" s="6" t="str">
        <f>_xlfn.IFNA(IF($A161=0,"-",VLOOKUP($A161,'Operating Budget'!$C$21:$L$31,10,FALSE)),"-")</f>
        <v>-</v>
      </c>
      <c r="L161" s="79" t="str">
        <f t="shared" si="15"/>
        <v>-</v>
      </c>
      <c r="M161" s="84" t="str">
        <f t="shared" si="13"/>
        <v>-</v>
      </c>
      <c r="O161" s="99" t="s">
        <v>247</v>
      </c>
      <c r="Q161" s="106"/>
      <c r="R161" s="60">
        <f>'Operating Budget'!J59</f>
        <v>0</v>
      </c>
      <c r="S161" s="60">
        <f>IF($F$166="-",0,R161/$F$166)</f>
        <v>0</v>
      </c>
      <c r="T161" s="48">
        <f>S161/12</f>
        <v>0</v>
      </c>
    </row>
    <row r="162" spans="1:20" x14ac:dyDescent="0.25">
      <c r="A162" s="2">
        <f>IF(A161=7,8,4)</f>
        <v>4</v>
      </c>
      <c r="D162" s="67" t="str">
        <f>_xlfn.IFNA(IF($A162=0,"-",VLOOKUP($A162,'Operating Budget'!$C$21:$L$31,3,FALSE) &amp; " BR"),"-")</f>
        <v>-</v>
      </c>
      <c r="E162" s="134" t="str">
        <f>_xlfn.IFNA(IF($A162=0,"-",VLOOKUP($A162,'Operating Budget'!$C$21:$L$31,5,FALSE)),"-")</f>
        <v>-</v>
      </c>
      <c r="F162" s="6" t="str">
        <f>_xlfn.IFNA(IF($A162=0,"-",VLOOKUP($A162,'Operating Budget'!$C$21:$L$31,4,FALSE)),"-")</f>
        <v>-</v>
      </c>
      <c r="G162" s="6" t="str">
        <f>_xlfn.IFNA(IF($A162=0,"-",VLOOKUP($A162,'Operating Budget'!$C$21:$L$31,6,FALSE)),"-")</f>
        <v>-</v>
      </c>
      <c r="H162" s="6" t="str">
        <f>_xlfn.IFNA(IF($A162=0,"-",VLOOKUP($A162,'Operating Budget'!$C$21:$L$31,7,FALSE)),"-")</f>
        <v>-</v>
      </c>
      <c r="I162" s="6" t="str">
        <f>_xlfn.IFNA(IF($A162=0,"-",VLOOKUP($A162,'Operating Budget'!$C$21:$L$31,8,FALSE)),"-")</f>
        <v>-</v>
      </c>
      <c r="J162" s="76" t="str">
        <f t="shared" si="14"/>
        <v>-</v>
      </c>
      <c r="K162" s="6" t="str">
        <f>_xlfn.IFNA(IF($A162=0,"-",VLOOKUP($A162,'Operating Budget'!$C$21:$L$31,10,FALSE)),"-")</f>
        <v>-</v>
      </c>
      <c r="L162" s="79" t="str">
        <f t="shared" si="15"/>
        <v>-</v>
      </c>
      <c r="M162" s="84" t="str">
        <f t="shared" si="13"/>
        <v>-</v>
      </c>
      <c r="O162" s="99" t="s">
        <v>248</v>
      </c>
      <c r="Q162" s="106"/>
      <c r="R162" s="60">
        <f>'Operating Budget'!J60</f>
        <v>0</v>
      </c>
      <c r="S162" s="60">
        <f>IF($F$166="-",0,R162/$F$166)</f>
        <v>0</v>
      </c>
      <c r="T162" s="48">
        <f t="shared" ref="T162:T180" si="16">S162/12</f>
        <v>0</v>
      </c>
    </row>
    <row r="163" spans="1:20" x14ac:dyDescent="0.25">
      <c r="A163" s="2">
        <f>IF(A162=4,0,9)</f>
        <v>0</v>
      </c>
      <c r="D163" s="67" t="str">
        <f>_xlfn.IFNA(IF($A163=0,"-",VLOOKUP($A163,'Operating Budget'!$C$21:$L$31,3,FALSE) &amp; " BR"),"-")</f>
        <v>-</v>
      </c>
      <c r="E163" s="134" t="str">
        <f>_xlfn.IFNA(IF($A163=0,"-",VLOOKUP($A163,'Operating Budget'!$C$21:$L$31,5,FALSE)),"-")</f>
        <v>-</v>
      </c>
      <c r="F163" s="6" t="str">
        <f>_xlfn.IFNA(IF($A163=0,"-",VLOOKUP($A163,'Operating Budget'!$C$21:$L$31,4,FALSE)),"-")</f>
        <v>-</v>
      </c>
      <c r="G163" s="6" t="str">
        <f>_xlfn.IFNA(IF($A163=0,"-",VLOOKUP($A163,'Operating Budget'!$C$21:$L$31,6,FALSE)),"-")</f>
        <v>-</v>
      </c>
      <c r="H163" s="6" t="str">
        <f>_xlfn.IFNA(IF($A163=0,"-",VLOOKUP($A163,'Operating Budget'!$C$21:$L$31,7,FALSE)),"-")</f>
        <v>-</v>
      </c>
      <c r="I163" s="6" t="str">
        <f>_xlfn.IFNA(IF($A163=0,"-",VLOOKUP($A163,'Operating Budget'!$C$21:$L$31,8,FALSE)),"-")</f>
        <v>-</v>
      </c>
      <c r="J163" s="76" t="str">
        <f t="shared" si="14"/>
        <v>-</v>
      </c>
      <c r="K163" s="6" t="str">
        <f>_xlfn.IFNA(IF($A163=0,"-",VLOOKUP($A163,'Operating Budget'!$C$21:$L$31,10,FALSE)),"-")</f>
        <v>-</v>
      </c>
      <c r="L163" s="79" t="str">
        <f t="shared" si="15"/>
        <v>-</v>
      </c>
      <c r="M163" s="84" t="str">
        <f t="shared" si="13"/>
        <v>-</v>
      </c>
      <c r="O163" s="99" t="s">
        <v>249</v>
      </c>
      <c r="Q163" s="106"/>
      <c r="R163" s="60">
        <f>'Operating Budget'!J61</f>
        <v>0</v>
      </c>
      <c r="S163" s="60">
        <f>IF($F$166="-",0,R163/$F$166)</f>
        <v>0</v>
      </c>
      <c r="T163" s="48">
        <f t="shared" si="16"/>
        <v>0</v>
      </c>
    </row>
    <row r="164" spans="1:20" x14ac:dyDescent="0.25">
      <c r="A164" s="2">
        <f>IF(A163=9,10,5)</f>
        <v>5</v>
      </c>
      <c r="D164" s="67" t="str">
        <f>_xlfn.IFNA(IF($A164=0,"-",VLOOKUP($A164,'Operating Budget'!$C$21:$L$31,3,FALSE) &amp; " BR"),"-")</f>
        <v>-</v>
      </c>
      <c r="E164" s="134" t="str">
        <f>_xlfn.IFNA(IF($A164=0,"-",VLOOKUP($A164,'Operating Budget'!$C$21:$L$31,5,FALSE)),"-")</f>
        <v>-</v>
      </c>
      <c r="F164" s="6" t="str">
        <f>_xlfn.IFNA(IF($A164=0,"-",VLOOKUP($A164,'Operating Budget'!$C$21:$L$31,4,FALSE)),"-")</f>
        <v>-</v>
      </c>
      <c r="G164" s="6" t="str">
        <f>_xlfn.IFNA(IF($A164=0,"-",VLOOKUP($A164,'Operating Budget'!$C$21:$L$31,6,FALSE)),"-")</f>
        <v>-</v>
      </c>
      <c r="H164" s="6" t="str">
        <f>_xlfn.IFNA(IF($A164=0,"-",VLOOKUP($A164,'Operating Budget'!$C$21:$L$31,7,FALSE)),"-")</f>
        <v>-</v>
      </c>
      <c r="I164" s="6" t="str">
        <f>_xlfn.IFNA(IF($A164=0,"-",VLOOKUP($A164,'Operating Budget'!$C$21:$L$31,8,FALSE)),"-")</f>
        <v>-</v>
      </c>
      <c r="J164" s="76" t="str">
        <f t="shared" si="14"/>
        <v>-</v>
      </c>
      <c r="K164" s="6" t="str">
        <f>_xlfn.IFNA(IF($A164=0,"-",VLOOKUP($A164,'Operating Budget'!$C$21:$L$31,10,FALSE)),"-")</f>
        <v>-</v>
      </c>
      <c r="L164" s="79" t="str">
        <f t="shared" si="15"/>
        <v>-</v>
      </c>
      <c r="M164" s="84" t="str">
        <f t="shared" si="13"/>
        <v>-</v>
      </c>
      <c r="O164" s="99" t="s">
        <v>250</v>
      </c>
      <c r="Q164" s="106"/>
      <c r="R164" s="60">
        <f>'Operating Budget'!J62</f>
        <v>0</v>
      </c>
      <c r="S164" s="60">
        <f>IF($F$166="-",0,R164/$F$166)</f>
        <v>0</v>
      </c>
      <c r="T164" s="48">
        <f t="shared" si="16"/>
        <v>0</v>
      </c>
    </row>
    <row r="165" spans="1:20" x14ac:dyDescent="0.25">
      <c r="A165" s="2">
        <f>IF(A164=5,0,11)</f>
        <v>0</v>
      </c>
      <c r="D165" s="74" t="str">
        <f>_xlfn.IFNA(IF($A165=0,"-",VLOOKUP($A165,'Operating Budget'!$C$21:$L$31,3,FALSE) &amp; " BR"),"-")</f>
        <v>-</v>
      </c>
      <c r="E165" s="135" t="str">
        <f>_xlfn.IFNA(IF($A165=0,"-",VLOOKUP($A165,'Operating Budget'!$C$21:$L$31,5,FALSE)),"-")</f>
        <v>-</v>
      </c>
      <c r="F165" s="66" t="str">
        <f>_xlfn.IFNA(IF($A165=0,"-",VLOOKUP($A165,'Operating Budget'!$C$21:$L$31,4,FALSE)),"-")</f>
        <v>-</v>
      </c>
      <c r="G165" s="66" t="str">
        <f>_xlfn.IFNA(IF($A165=0,"-",VLOOKUP($A165,'Operating Budget'!$C$21:$L$31,6,FALSE)),"-")</f>
        <v>-</v>
      </c>
      <c r="H165" s="66" t="str">
        <f>_xlfn.IFNA(IF($A165=0,"-",VLOOKUP($A165,'Operating Budget'!$C$21:$L$31,7,FALSE)),"-")</f>
        <v>-</v>
      </c>
      <c r="I165" s="66" t="str">
        <f>_xlfn.IFNA(IF($A165=0,"-",VLOOKUP($A165,'Operating Budget'!$C$21:$L$31,8,FALSE)),"-")</f>
        <v>-</v>
      </c>
      <c r="J165" s="77" t="str">
        <f t="shared" si="14"/>
        <v>-</v>
      </c>
      <c r="K165" s="66" t="str">
        <f>_xlfn.IFNA(IF($A165=0,"-",VLOOKUP($A165,'Operating Budget'!$C$21:$L$31,10,FALSE)),"-")</f>
        <v>-</v>
      </c>
      <c r="L165" s="80" t="str">
        <f t="shared" si="15"/>
        <v>-</v>
      </c>
      <c r="M165" s="85" t="str">
        <f t="shared" si="13"/>
        <v>-</v>
      </c>
      <c r="O165" s="100" t="s">
        <v>40</v>
      </c>
      <c r="P165" s="52"/>
      <c r="Q165" s="101"/>
      <c r="R165" s="102">
        <f>SUM(R161:R164)</f>
        <v>0</v>
      </c>
      <c r="S165" s="102">
        <f>SUM(S161:S164)</f>
        <v>0</v>
      </c>
      <c r="T165" s="103">
        <f>SUM(T161:T164)</f>
        <v>0</v>
      </c>
    </row>
    <row r="166" spans="1:20" x14ac:dyDescent="0.25">
      <c r="D166" s="51" t="s">
        <v>228</v>
      </c>
      <c r="E166" s="52"/>
      <c r="F166" s="88" t="str">
        <f>IF(SUM(F155:F165)=0,"-",SUM(F155:F165))</f>
        <v>-</v>
      </c>
      <c r="G166" s="52"/>
      <c r="H166" s="52"/>
      <c r="I166" s="52"/>
      <c r="J166" s="52"/>
      <c r="K166" s="52"/>
      <c r="L166" s="52"/>
      <c r="M166" s="89">
        <f>SUM(M155:M165)</f>
        <v>0</v>
      </c>
      <c r="O166" s="99" t="s">
        <v>251</v>
      </c>
      <c r="Q166" s="106"/>
      <c r="R166" s="60">
        <f>'Operating Budget'!J66</f>
        <v>0</v>
      </c>
      <c r="S166" s="60">
        <f t="shared" ref="S166:S173" si="17">IF($F$166="-",0,R166/$F$166)</f>
        <v>0</v>
      </c>
      <c r="T166" s="48">
        <f t="shared" si="16"/>
        <v>0</v>
      </c>
    </row>
    <row r="167" spans="1:20" x14ac:dyDescent="0.25">
      <c r="D167" s="57"/>
      <c r="E167" s="58"/>
      <c r="F167" s="91"/>
      <c r="G167" s="58"/>
      <c r="H167" s="58"/>
      <c r="I167" s="58"/>
      <c r="J167" s="58"/>
      <c r="K167" s="58"/>
      <c r="L167" s="58"/>
      <c r="M167" s="91"/>
      <c r="O167" s="99" t="s">
        <v>252</v>
      </c>
      <c r="Q167" s="106"/>
      <c r="R167" s="60">
        <f>'Operating Budget'!J67</f>
        <v>0</v>
      </c>
      <c r="S167" s="60">
        <f t="shared" si="17"/>
        <v>0</v>
      </c>
      <c r="T167" s="48">
        <f t="shared" si="16"/>
        <v>0</v>
      </c>
    </row>
    <row r="168" spans="1:20" x14ac:dyDescent="0.25">
      <c r="D168" s="45" t="s">
        <v>229</v>
      </c>
      <c r="E168" s="60">
        <f>SUMIFS($F$155:$F$165,$D$155:$D$165,D168)</f>
        <v>0</v>
      </c>
      <c r="F168" s="50"/>
      <c r="G168" s="45" t="str">
        <f>"Other Income: " &amp; CONCATENATE(IF('Operating Budget'!F35="If amount is affected by vacancy loss","",'Operating Budget'!F35),IF('Operating Budget'!F36="","",", "&amp;'Operating Budget'!F36),IF('Operating Budget'!F37="","",", "&amp;'Operating Budget'!F37))</f>
        <v xml:space="preserve">Other Income: </v>
      </c>
      <c r="L168" s="60">
        <f>SUM('Operating Budget'!J35:J37)</f>
        <v>0</v>
      </c>
      <c r="M168" s="92">
        <f>L168*12</f>
        <v>0</v>
      </c>
      <c r="O168" s="99" t="s">
        <v>253</v>
      </c>
      <c r="Q168" s="106"/>
      <c r="R168" s="60">
        <f>'Operating Budget'!J68</f>
        <v>0</v>
      </c>
      <c r="S168" s="60">
        <f t="shared" si="17"/>
        <v>0</v>
      </c>
      <c r="T168" s="48">
        <f t="shared" si="16"/>
        <v>0</v>
      </c>
    </row>
    <row r="169" spans="1:20" x14ac:dyDescent="0.25">
      <c r="D169" s="45" t="s">
        <v>230</v>
      </c>
      <c r="E169" s="60">
        <f>SUMIFS($F$155:$F$165,$D$155:$D$165,D169)</f>
        <v>0</v>
      </c>
      <c r="F169" s="50"/>
      <c r="G169" s="2" t="s">
        <v>174</v>
      </c>
      <c r="K169" s="93">
        <f>'Operating Budget'!G39</f>
        <v>0.05</v>
      </c>
      <c r="M169" s="48">
        <f>SUM(M166:M168)*-K169</f>
        <v>0</v>
      </c>
      <c r="O169" s="99" t="s">
        <v>254</v>
      </c>
      <c r="Q169" s="106"/>
      <c r="R169" s="60">
        <f>'Operating Budget'!J69</f>
        <v>0</v>
      </c>
      <c r="S169" s="60">
        <f t="shared" si="17"/>
        <v>0</v>
      </c>
      <c r="T169" s="48">
        <f t="shared" si="16"/>
        <v>0</v>
      </c>
    </row>
    <row r="170" spans="1:20" x14ac:dyDescent="0.25">
      <c r="D170" s="45" t="s">
        <v>231</v>
      </c>
      <c r="E170" s="60">
        <f>SUMIFS($F$155:$F$165,$D$155:$D$165,D170)</f>
        <v>0</v>
      </c>
      <c r="F170" s="50"/>
      <c r="G170" s="45" t="str">
        <f>"Other Income: " &amp; CONCATENATE(IF('Operating Budget'!F41="If amount is not affected by vacancy loss","",'Operating Budget'!F41),IF('Operating Budget'!F42="","",", "&amp;'Operating Budget'!F42))</f>
        <v xml:space="preserve">Other Income: </v>
      </c>
      <c r="L170" s="60">
        <f>SUM('Operating Budget'!J41:J42)</f>
        <v>0</v>
      </c>
      <c r="M170" s="92">
        <f>L170*12</f>
        <v>0</v>
      </c>
      <c r="O170" s="99" t="s">
        <v>255</v>
      </c>
      <c r="Q170" s="106"/>
      <c r="R170" s="60">
        <f>'Operating Budget'!J70</f>
        <v>0</v>
      </c>
      <c r="S170" s="60">
        <f t="shared" si="17"/>
        <v>0</v>
      </c>
      <c r="T170" s="48">
        <f t="shared" si="16"/>
        <v>0</v>
      </c>
    </row>
    <row r="171" spans="1:20" x14ac:dyDescent="0.25">
      <c r="D171" s="45" t="s">
        <v>232</v>
      </c>
      <c r="E171" s="60">
        <f>SUMIFS($F$155:$F$165,$D$155:$D$165,D171)</f>
        <v>0</v>
      </c>
      <c r="F171" s="50"/>
      <c r="G171" s="2" t="str">
        <f>'Operating Budget'!F44</f>
        <v>TIF Income</v>
      </c>
      <c r="M171" s="48">
        <f>'Operating Budget'!K44</f>
        <v>0</v>
      </c>
      <c r="O171" s="99" t="s">
        <v>256</v>
      </c>
      <c r="Q171" s="106"/>
      <c r="R171" s="60">
        <f>'Operating Budget'!J71</f>
        <v>0</v>
      </c>
      <c r="S171" s="60">
        <f t="shared" si="17"/>
        <v>0</v>
      </c>
      <c r="T171" s="48">
        <f t="shared" si="16"/>
        <v>0</v>
      </c>
    </row>
    <row r="172" spans="1:20" x14ac:dyDescent="0.25">
      <c r="D172" s="43" t="s">
        <v>233</v>
      </c>
      <c r="E172" s="61">
        <f>SUMIFS($F$155:$F$165,$D$155:$D$165,D172)</f>
        <v>0</v>
      </c>
      <c r="F172" s="44"/>
      <c r="G172" s="46" t="s">
        <v>234</v>
      </c>
      <c r="H172" s="46"/>
      <c r="I172" s="46"/>
      <c r="J172" s="46"/>
      <c r="K172" s="46"/>
      <c r="L172" s="46"/>
      <c r="M172" s="94">
        <f>SUM(M166:M171)</f>
        <v>0</v>
      </c>
      <c r="O172" s="99" t="s">
        <v>257</v>
      </c>
      <c r="Q172" s="106"/>
      <c r="R172" s="60">
        <f>'Operating Budget'!J72</f>
        <v>0</v>
      </c>
      <c r="S172" s="60">
        <f t="shared" si="17"/>
        <v>0</v>
      </c>
      <c r="T172" s="48">
        <f t="shared" si="16"/>
        <v>0</v>
      </c>
    </row>
    <row r="173" spans="1:20" x14ac:dyDescent="0.25">
      <c r="O173" s="99" t="s">
        <v>258</v>
      </c>
      <c r="Q173" s="106"/>
      <c r="R173" s="60">
        <f>'Operating Budget'!J73</f>
        <v>0</v>
      </c>
      <c r="S173" s="60">
        <f t="shared" si="17"/>
        <v>0</v>
      </c>
      <c r="T173" s="48">
        <f t="shared" si="16"/>
        <v>0</v>
      </c>
    </row>
    <row r="174" spans="1:20" x14ac:dyDescent="0.25">
      <c r="O174" s="100" t="s">
        <v>51</v>
      </c>
      <c r="P174" s="52"/>
      <c r="Q174" s="101"/>
      <c r="R174" s="104">
        <f>SUM(R166:R173)</f>
        <v>0</v>
      </c>
      <c r="S174" s="104">
        <f>SUM(S166:S173)</f>
        <v>0</v>
      </c>
      <c r="T174" s="105">
        <f>SUM(T166:T173)</f>
        <v>0</v>
      </c>
    </row>
    <row r="175" spans="1:20" x14ac:dyDescent="0.25">
      <c r="O175" s="57" t="s">
        <v>259</v>
      </c>
      <c r="P175" s="58"/>
      <c r="Q175" s="58"/>
      <c r="R175" s="108">
        <f>'Operating Budget'!J77</f>
        <v>0</v>
      </c>
      <c r="S175" s="108">
        <f>IF($F$166="-",0,R175/$F$166)</f>
        <v>0</v>
      </c>
      <c r="T175" s="109">
        <f t="shared" si="16"/>
        <v>0</v>
      </c>
    </row>
    <row r="176" spans="1:20" x14ac:dyDescent="0.25">
      <c r="O176" s="45" t="s">
        <v>260</v>
      </c>
      <c r="Q176" s="106"/>
      <c r="R176" s="60">
        <f>'Operating Budget'!J78</f>
        <v>0</v>
      </c>
      <c r="S176" s="60">
        <f>IF($F$166="-",0,R176/$F$166)</f>
        <v>0</v>
      </c>
      <c r="T176" s="48">
        <f t="shared" si="16"/>
        <v>0</v>
      </c>
    </row>
    <row r="177" spans="4:20" x14ac:dyDescent="0.25">
      <c r="O177" s="43" t="s">
        <v>261</v>
      </c>
      <c r="P177" s="27"/>
      <c r="Q177" s="107"/>
      <c r="R177" s="61">
        <f>'Operating Budget'!J79</f>
        <v>0</v>
      </c>
      <c r="S177" s="61">
        <f>IF($F$166="-",0,R177/$F$166)</f>
        <v>0</v>
      </c>
      <c r="T177" s="65">
        <f t="shared" si="16"/>
        <v>0</v>
      </c>
    </row>
    <row r="178" spans="4:20" x14ac:dyDescent="0.25">
      <c r="O178" s="98" t="s">
        <v>56</v>
      </c>
      <c r="P178" s="58"/>
      <c r="Q178" s="58"/>
      <c r="R178" s="141">
        <f>SUM(R175:R177)</f>
        <v>0</v>
      </c>
      <c r="S178" s="141">
        <f>SUM(S175:S177)</f>
        <v>0</v>
      </c>
      <c r="T178" s="142">
        <f>SUM(T175:T177)</f>
        <v>0</v>
      </c>
    </row>
    <row r="179" spans="4:20" x14ac:dyDescent="0.25">
      <c r="O179" s="57" t="s">
        <v>57</v>
      </c>
      <c r="P179" s="58"/>
      <c r="Q179" s="58"/>
      <c r="R179" s="108">
        <f>'Operating Budget'!J82</f>
        <v>0</v>
      </c>
      <c r="S179" s="108">
        <f>IF($F$166="-",0,R179/$F$166)</f>
        <v>0</v>
      </c>
      <c r="T179" s="109">
        <f t="shared" si="16"/>
        <v>0</v>
      </c>
    </row>
    <row r="180" spans="4:20" x14ac:dyDescent="0.25">
      <c r="O180" s="43" t="s">
        <v>262</v>
      </c>
      <c r="P180" s="27"/>
      <c r="Q180" s="27"/>
      <c r="R180" s="47">
        <f>'Operating Budget'!J83</f>
        <v>0</v>
      </c>
      <c r="S180" s="61">
        <f>IF($F$166="-",0,R180/$F$166)</f>
        <v>0</v>
      </c>
      <c r="T180" s="65">
        <f t="shared" si="16"/>
        <v>0</v>
      </c>
    </row>
    <row r="181" spans="4:20" x14ac:dyDescent="0.25">
      <c r="O181" s="57"/>
      <c r="P181" s="58"/>
      <c r="Q181" s="58"/>
      <c r="R181" s="58"/>
      <c r="S181" s="58"/>
      <c r="T181" s="91"/>
    </row>
    <row r="182" spans="4:20" x14ac:dyDescent="0.25">
      <c r="O182" s="112" t="s">
        <v>59</v>
      </c>
      <c r="P182" s="27"/>
      <c r="Q182" s="27"/>
      <c r="R182" s="113">
        <f>SUM(R160,R165,R174,R178:R180)</f>
        <v>0</v>
      </c>
      <c r="S182" s="113">
        <f>SUM(S160,S165,S174,S178:S180)</f>
        <v>0</v>
      </c>
      <c r="T182" s="114">
        <f>SUM(T160,T165,T174,T178:T180)</f>
        <v>0</v>
      </c>
    </row>
    <row r="187" spans="4:20" x14ac:dyDescent="0.25">
      <c r="D187" s="57" t="s">
        <v>263</v>
      </c>
      <c r="E187" s="58"/>
      <c r="F187" s="58"/>
      <c r="G187" s="58"/>
      <c r="H187" s="58"/>
      <c r="I187" s="58"/>
      <c r="J187" s="58"/>
      <c r="K187" s="58"/>
      <c r="L187" s="58"/>
      <c r="M187" s="58"/>
      <c r="N187" s="58"/>
      <c r="O187" s="58"/>
      <c r="P187" s="58"/>
      <c r="Q187" s="91"/>
    </row>
    <row r="188" spans="4:20" x14ac:dyDescent="0.25">
      <c r="D188" s="45"/>
      <c r="F188" s="2">
        <f ca="1">MONTH(G189)-MONTH(F189)</f>
        <v>7</v>
      </c>
      <c r="G188" s="2" t="str">
        <f ca="1">IF(F188&gt;1,"Months","Month")</f>
        <v>Months</v>
      </c>
      <c r="Q188" s="50"/>
    </row>
    <row r="189" spans="4:20" x14ac:dyDescent="0.25">
      <c r="D189" s="43"/>
      <c r="E189" s="27"/>
      <c r="F189" s="62">
        <f ca="1">N66</f>
        <v>46904</v>
      </c>
      <c r="G189" s="62">
        <f ca="1">DATE(YEAR(F189),12,31)</f>
        <v>47118</v>
      </c>
      <c r="H189" s="62">
        <f ca="1">EOMONTH(G189,12)</f>
        <v>47483</v>
      </c>
      <c r="I189" s="62">
        <f t="shared" ref="I189:P189" ca="1" si="18">EOMONTH(H189,12)</f>
        <v>47848</v>
      </c>
      <c r="J189" s="62">
        <f t="shared" ca="1" si="18"/>
        <v>48213</v>
      </c>
      <c r="K189" s="62">
        <f t="shared" ca="1" si="18"/>
        <v>48579</v>
      </c>
      <c r="L189" s="62">
        <f t="shared" ca="1" si="18"/>
        <v>48944</v>
      </c>
      <c r="M189" s="62">
        <f t="shared" ca="1" si="18"/>
        <v>49309</v>
      </c>
      <c r="N189" s="62">
        <f t="shared" ca="1" si="18"/>
        <v>49674</v>
      </c>
      <c r="O189" s="62">
        <f t="shared" ca="1" si="18"/>
        <v>50040</v>
      </c>
      <c r="P189" s="62">
        <f t="shared" ca="1" si="18"/>
        <v>50405</v>
      </c>
      <c r="Q189" s="118">
        <f ca="1">EOMONTH(P189,12)</f>
        <v>50770</v>
      </c>
    </row>
    <row r="190" spans="4:20" x14ac:dyDescent="0.25">
      <c r="D190" s="45" t="s">
        <v>234</v>
      </c>
      <c r="G190" s="60">
        <f ca="1">(M172-IF(M171&gt;0,M171,0))*(F188/12)</f>
        <v>0</v>
      </c>
      <c r="H190" s="60">
        <f>(M172-IF(M171&gt;0,M171,0))</f>
        <v>0</v>
      </c>
      <c r="I190" s="60">
        <f t="shared" ref="I190:Q190" ca="1" si="19">H190*(1+IF(YEAR(I189)-YEAR($G$189)&lt;6,$O$7,IF(YEAR(I189)-YEAR($G$189)&lt;16,$P$7,$Q$7)))</f>
        <v>0</v>
      </c>
      <c r="J190" s="60">
        <f t="shared" ca="1" si="19"/>
        <v>0</v>
      </c>
      <c r="K190" s="60">
        <f t="shared" ca="1" si="19"/>
        <v>0</v>
      </c>
      <c r="L190" s="60">
        <f t="shared" ca="1" si="19"/>
        <v>0</v>
      </c>
      <c r="M190" s="60">
        <f t="shared" ca="1" si="19"/>
        <v>0</v>
      </c>
      <c r="N190" s="60">
        <f t="shared" ca="1" si="19"/>
        <v>0</v>
      </c>
      <c r="O190" s="60">
        <f t="shared" ca="1" si="19"/>
        <v>0</v>
      </c>
      <c r="P190" s="60">
        <f t="shared" ca="1" si="19"/>
        <v>0</v>
      </c>
      <c r="Q190" s="48">
        <f t="shared" ca="1" si="19"/>
        <v>0</v>
      </c>
    </row>
    <row r="191" spans="4:20" x14ac:dyDescent="0.25">
      <c r="D191" s="45" t="s">
        <v>264</v>
      </c>
      <c r="G191" s="60">
        <f ca="1">(R182-IF(M171&gt;0,R175,0))*(F188/12)</f>
        <v>0</v>
      </c>
      <c r="H191" s="60">
        <f>(R182-IF(M171&gt;0,R175,0))</f>
        <v>0</v>
      </c>
      <c r="I191" s="60">
        <f t="shared" ref="I191:Q191" ca="1" si="20">H191*(1+IF(YEAR(I189)-YEAR($G$189)&lt;6,$O$8,IF(YEAR(I189)-YEAR($G$189)&lt;16,$P$8,$Q$8)))</f>
        <v>0</v>
      </c>
      <c r="J191" s="60">
        <f t="shared" ca="1" si="20"/>
        <v>0</v>
      </c>
      <c r="K191" s="60">
        <f t="shared" ca="1" si="20"/>
        <v>0</v>
      </c>
      <c r="L191" s="60">
        <f t="shared" ca="1" si="20"/>
        <v>0</v>
      </c>
      <c r="M191" s="60">
        <f t="shared" ca="1" si="20"/>
        <v>0</v>
      </c>
      <c r="N191" s="60">
        <f t="shared" ca="1" si="20"/>
        <v>0</v>
      </c>
      <c r="O191" s="60">
        <f t="shared" ca="1" si="20"/>
        <v>0</v>
      </c>
      <c r="P191" s="60">
        <f t="shared" ca="1" si="20"/>
        <v>0</v>
      </c>
      <c r="Q191" s="48">
        <f t="shared" ca="1" si="20"/>
        <v>0</v>
      </c>
    </row>
    <row r="192" spans="4:20" x14ac:dyDescent="0.25">
      <c r="D192" s="45" t="s">
        <v>265</v>
      </c>
      <c r="G192" s="60">
        <f ca="1">G190-G191</f>
        <v>0</v>
      </c>
      <c r="H192" s="60">
        <f>H190-H191</f>
        <v>0</v>
      </c>
      <c r="I192" s="60">
        <f ca="1">I190-I191</f>
        <v>0</v>
      </c>
      <c r="J192" s="60">
        <f t="shared" ref="J192:Q192" ca="1" si="21">J190-J191</f>
        <v>0</v>
      </c>
      <c r="K192" s="60">
        <f t="shared" ca="1" si="21"/>
        <v>0</v>
      </c>
      <c r="L192" s="60">
        <f t="shared" ca="1" si="21"/>
        <v>0</v>
      </c>
      <c r="M192" s="60">
        <f t="shared" ca="1" si="21"/>
        <v>0</v>
      </c>
      <c r="N192" s="60">
        <f t="shared" ca="1" si="21"/>
        <v>0</v>
      </c>
      <c r="O192" s="60">
        <f t="shared" ca="1" si="21"/>
        <v>0</v>
      </c>
      <c r="P192" s="60">
        <f t="shared" ca="1" si="21"/>
        <v>0</v>
      </c>
      <c r="Q192" s="48">
        <f t="shared" ca="1" si="21"/>
        <v>0</v>
      </c>
    </row>
    <row r="193" spans="1:17" ht="9.9499999999999993" customHeight="1" x14ac:dyDescent="0.25">
      <c r="D193" s="45"/>
      <c r="G193" s="60"/>
      <c r="H193" s="60"/>
      <c r="I193" s="60"/>
      <c r="J193" s="60"/>
      <c r="K193" s="60"/>
      <c r="L193" s="60"/>
      <c r="M193" s="60"/>
      <c r="N193" s="60"/>
      <c r="O193" s="60"/>
      <c r="P193" s="60"/>
      <c r="Q193" s="48"/>
    </row>
    <row r="194" spans="1:17" x14ac:dyDescent="0.25">
      <c r="D194" s="45" t="s">
        <v>147</v>
      </c>
      <c r="G194" s="60">
        <f ca="1">M171*($F$188/12)</f>
        <v>0</v>
      </c>
      <c r="H194" s="60">
        <f>M171</f>
        <v>0</v>
      </c>
      <c r="I194" s="60">
        <f t="shared" ref="I194:Q194" ca="1" si="22">H194*(1+IF(YEAR(I189)-YEAR($G$189)&lt;6,$O$8,IF(YEAR(I189)-YEAR($G$189)&lt;16,$P$8,$Q$8)))</f>
        <v>0</v>
      </c>
      <c r="J194" s="60">
        <f t="shared" ca="1" si="22"/>
        <v>0</v>
      </c>
      <c r="K194" s="60">
        <f t="shared" ca="1" si="22"/>
        <v>0</v>
      </c>
      <c r="L194" s="60">
        <f t="shared" ca="1" si="22"/>
        <v>0</v>
      </c>
      <c r="M194" s="60">
        <f t="shared" ca="1" si="22"/>
        <v>0</v>
      </c>
      <c r="N194" s="60">
        <f t="shared" ca="1" si="22"/>
        <v>0</v>
      </c>
      <c r="O194" s="60">
        <f t="shared" ca="1" si="22"/>
        <v>0</v>
      </c>
      <c r="P194" s="60">
        <f t="shared" ca="1" si="22"/>
        <v>0</v>
      </c>
      <c r="Q194" s="48">
        <f t="shared" ca="1" si="22"/>
        <v>0</v>
      </c>
    </row>
    <row r="195" spans="1:17" x14ac:dyDescent="0.25">
      <c r="D195" s="45" t="s">
        <v>274</v>
      </c>
      <c r="G195" s="60">
        <f ca="1">IF(G194&gt;0,R175*($F$188/12),0)</f>
        <v>0</v>
      </c>
      <c r="H195" s="60">
        <f>IF(H194&gt;0,R175,0)</f>
        <v>0</v>
      </c>
      <c r="I195" s="60">
        <f t="shared" ref="I195:Q195" ca="1" si="23">H195*(1+IF(YEAR(I189)-YEAR($G$189)&lt;6,$O$8,IF(YEAR(I189)-YEAR($G$189)&lt;16,$P$8,$Q$8)))</f>
        <v>0</v>
      </c>
      <c r="J195" s="60">
        <f t="shared" ca="1" si="23"/>
        <v>0</v>
      </c>
      <c r="K195" s="60">
        <f t="shared" ca="1" si="23"/>
        <v>0</v>
      </c>
      <c r="L195" s="60">
        <f t="shared" ca="1" si="23"/>
        <v>0</v>
      </c>
      <c r="M195" s="60">
        <f t="shared" ca="1" si="23"/>
        <v>0</v>
      </c>
      <c r="N195" s="60">
        <f t="shared" ca="1" si="23"/>
        <v>0</v>
      </c>
      <c r="O195" s="60">
        <f t="shared" ca="1" si="23"/>
        <v>0</v>
      </c>
      <c r="P195" s="60">
        <f t="shared" ca="1" si="23"/>
        <v>0</v>
      </c>
      <c r="Q195" s="48">
        <f t="shared" ca="1" si="23"/>
        <v>0</v>
      </c>
    </row>
    <row r="196" spans="1:17" x14ac:dyDescent="0.25">
      <c r="D196" s="45" t="s">
        <v>275</v>
      </c>
      <c r="G196" s="60">
        <f ca="1">G195-G194</f>
        <v>0</v>
      </c>
      <c r="H196" s="60">
        <f>H195-H194</f>
        <v>0</v>
      </c>
      <c r="I196" s="60">
        <f t="shared" ref="I196:Q196" ca="1" si="24">I195-I194</f>
        <v>0</v>
      </c>
      <c r="J196" s="60">
        <f t="shared" ca="1" si="24"/>
        <v>0</v>
      </c>
      <c r="K196" s="60">
        <f t="shared" ca="1" si="24"/>
        <v>0</v>
      </c>
      <c r="L196" s="60">
        <f t="shared" ca="1" si="24"/>
        <v>0</v>
      </c>
      <c r="M196" s="60">
        <f t="shared" ca="1" si="24"/>
        <v>0</v>
      </c>
      <c r="N196" s="60">
        <f t="shared" ca="1" si="24"/>
        <v>0</v>
      </c>
      <c r="O196" s="60">
        <f t="shared" ca="1" si="24"/>
        <v>0</v>
      </c>
      <c r="P196" s="60">
        <f t="shared" ca="1" si="24"/>
        <v>0</v>
      </c>
      <c r="Q196" s="48">
        <f t="shared" ca="1" si="24"/>
        <v>0</v>
      </c>
    </row>
    <row r="197" spans="1:17" ht="9.9499999999999993" customHeight="1" x14ac:dyDescent="0.25">
      <c r="D197" s="45"/>
      <c r="G197" s="60"/>
      <c r="H197" s="60"/>
      <c r="I197" s="60"/>
      <c r="J197" s="60"/>
      <c r="K197" s="60"/>
      <c r="L197" s="60"/>
      <c r="M197" s="60"/>
      <c r="N197" s="60"/>
      <c r="O197" s="60"/>
      <c r="P197" s="60"/>
      <c r="Q197" s="48"/>
    </row>
    <row r="198" spans="1:17" x14ac:dyDescent="0.25">
      <c r="D198" s="45" t="s">
        <v>276</v>
      </c>
      <c r="G198" s="60">
        <f ca="1">G192-G196</f>
        <v>0</v>
      </c>
      <c r="H198" s="60">
        <f>H192-H196</f>
        <v>0</v>
      </c>
      <c r="I198" s="60">
        <f t="shared" ref="I198:P198" ca="1" si="25">I192-I196</f>
        <v>0</v>
      </c>
      <c r="J198" s="60">
        <f t="shared" ca="1" si="25"/>
        <v>0</v>
      </c>
      <c r="K198" s="60">
        <f t="shared" ca="1" si="25"/>
        <v>0</v>
      </c>
      <c r="L198" s="60">
        <f t="shared" ca="1" si="25"/>
        <v>0</v>
      </c>
      <c r="M198" s="60">
        <f t="shared" ca="1" si="25"/>
        <v>0</v>
      </c>
      <c r="N198" s="60">
        <f t="shared" ca="1" si="25"/>
        <v>0</v>
      </c>
      <c r="O198" s="60">
        <f t="shared" ca="1" si="25"/>
        <v>0</v>
      </c>
      <c r="P198" s="60">
        <f t="shared" ca="1" si="25"/>
        <v>0</v>
      </c>
      <c r="Q198" s="48">
        <f ca="1">Q192-Q196</f>
        <v>0</v>
      </c>
    </row>
    <row r="199" spans="1:17" ht="9.9499999999999993" customHeight="1" x14ac:dyDescent="0.25">
      <c r="D199" s="45"/>
      <c r="G199" s="60"/>
      <c r="H199" s="60"/>
      <c r="I199" s="60"/>
      <c r="J199" s="60"/>
      <c r="K199" s="60"/>
      <c r="L199" s="60"/>
      <c r="M199" s="60"/>
      <c r="N199" s="60"/>
      <c r="O199" s="60"/>
      <c r="P199" s="60"/>
      <c r="Q199" s="48"/>
    </row>
    <row r="200" spans="1:17" x14ac:dyDescent="0.25">
      <c r="D200" s="45" t="s">
        <v>266</v>
      </c>
      <c r="G200" s="60">
        <f ca="1">SUMIFS($O$112:$O$119,$A$112:$A$119,"MH")*(F188/12)</f>
        <v>0</v>
      </c>
      <c r="H200" s="60">
        <f ca="1">SUMIFS(IF(YEAR(H189)-YEAR($G$189)&lt;6,$O$112:$O$119,IF(YEAR(H189)-YEAR($G$189)&lt;16,$P$112:$P$119,$Q$112:$Q$119)),$A$112:$A$119,"MH",$M$112:$M$119,"&gt;="&amp;YEAR(H189)-YEAR($G$189))</f>
        <v>0</v>
      </c>
      <c r="I200" s="60">
        <f t="shared" ref="I200:P200" ca="1" si="26">SUMIFS(IF(YEAR(I189)-YEAR($G$189)&lt;6,$O$112:$O$119,IF(YEAR(I189)-YEAR($G$189)&lt;16,$P$112:$P$119,$Q$112:$Q$119)),$A$112:$A$119,"MH",$M$112:$M$119,"&gt;="&amp;YEAR(I189)-YEAR($G$189))</f>
        <v>0</v>
      </c>
      <c r="J200" s="60">
        <f t="shared" ca="1" si="26"/>
        <v>0</v>
      </c>
      <c r="K200" s="60">
        <f t="shared" ca="1" si="26"/>
        <v>0</v>
      </c>
      <c r="L200" s="60">
        <f t="shared" ca="1" si="26"/>
        <v>0</v>
      </c>
      <c r="M200" s="60">
        <f t="shared" ca="1" si="26"/>
        <v>0</v>
      </c>
      <c r="N200" s="60">
        <f t="shared" ca="1" si="26"/>
        <v>0</v>
      </c>
      <c r="O200" s="60">
        <f t="shared" ca="1" si="26"/>
        <v>0</v>
      </c>
      <c r="P200" s="60">
        <f t="shared" ca="1" si="26"/>
        <v>0</v>
      </c>
      <c r="Q200" s="48">
        <f ca="1">SUMIFS(IF(YEAR(Q189)-YEAR($G$189)&lt;6,$O$112:$O$119,IF(YEAR(Q189)-YEAR($G$189)&lt;16,$P$112:$P$119,$Q$112:$Q$119)),$A$112:$A$119,"MH",$M$112:$M$119,"&gt;="&amp;YEAR(Q189)-YEAR($G$189))</f>
        <v>0</v>
      </c>
    </row>
    <row r="201" spans="1:17" x14ac:dyDescent="0.25">
      <c r="D201" s="45" t="s">
        <v>267</v>
      </c>
      <c r="G201" s="60">
        <f ca="1">SUMIFS($O$112:$O$119,$A$112:$A$119,"Other")*(F188/12)</f>
        <v>0</v>
      </c>
      <c r="H201" s="60">
        <f ca="1">SUMIFS(IF(YEAR(H189)-YEAR($G$189)&lt;6,$O$112:$O$119,IF(YEAR(H189)-YEAR($G$189)&lt;16,$P$112:$P$119,$Q$112:$Q$119)),$A$112:$A$119,"&lt;&gt;" &amp;"MH",$M$112:$M$119,"&gt;="&amp;YEAR(H189)-YEAR($G$189))</f>
        <v>0</v>
      </c>
      <c r="I201" s="60">
        <f t="shared" ref="I201:P201" ca="1" si="27">SUMIFS(IF(YEAR(I189)-YEAR($G$189)&lt;6,$O$112:$O$119,IF(YEAR(I189)-YEAR($G$189)&lt;16,$P$112:$P$119,$Q$112:$Q$119)),$A$112:$A$119,"&lt;&gt;" &amp;"MH",$M$112:$M$119,"&gt;="&amp;YEAR(I189)-YEAR($G$189))</f>
        <v>0</v>
      </c>
      <c r="J201" s="60">
        <f t="shared" ca="1" si="27"/>
        <v>0</v>
      </c>
      <c r="K201" s="60">
        <f t="shared" ca="1" si="27"/>
        <v>0</v>
      </c>
      <c r="L201" s="60">
        <f t="shared" ca="1" si="27"/>
        <v>0</v>
      </c>
      <c r="M201" s="60">
        <f t="shared" ca="1" si="27"/>
        <v>0</v>
      </c>
      <c r="N201" s="60">
        <f t="shared" ca="1" si="27"/>
        <v>0</v>
      </c>
      <c r="O201" s="60">
        <f t="shared" ca="1" si="27"/>
        <v>0</v>
      </c>
      <c r="P201" s="60">
        <f t="shared" ca="1" si="27"/>
        <v>0</v>
      </c>
      <c r="Q201" s="48">
        <f ca="1">SUMIFS(IF(YEAR(Q189)-YEAR($G$189)&lt;6,$O$112:$O$119,IF(YEAR(Q189)-YEAR($G$189)&lt;16,$P$112:$P$119,$Q$112:$Q$119)),$A$112:$A$119,"&lt;&gt;" &amp;"MH",$M$112:$M$119,"&gt;="&amp;YEAR(Q189)-YEAR($G$189))</f>
        <v>0</v>
      </c>
    </row>
    <row r="202" spans="1:17" ht="9.9499999999999993" customHeight="1" x14ac:dyDescent="0.25">
      <c r="D202" s="45"/>
      <c r="G202" s="60"/>
      <c r="H202" s="60"/>
      <c r="I202" s="60"/>
      <c r="J202" s="60"/>
      <c r="K202" s="60"/>
      <c r="L202" s="60"/>
      <c r="M202" s="60"/>
      <c r="N202" s="60"/>
      <c r="O202" s="60"/>
      <c r="P202" s="60"/>
      <c r="Q202" s="48"/>
    </row>
    <row r="203" spans="1:17" x14ac:dyDescent="0.25">
      <c r="D203" s="45" t="s">
        <v>268</v>
      </c>
      <c r="G203" s="60">
        <f ca="1">G198-SUM(G200:G201)</f>
        <v>0</v>
      </c>
      <c r="H203" s="60">
        <f ca="1">H198-SUM(H200:H201)</f>
        <v>0</v>
      </c>
      <c r="I203" s="60">
        <f ca="1">I198-SUM(I200:I201)</f>
        <v>0</v>
      </c>
      <c r="J203" s="60">
        <f t="shared" ref="J203:Q203" ca="1" si="28">J198-SUM(J200:J201)</f>
        <v>0</v>
      </c>
      <c r="K203" s="60">
        <f t="shared" ca="1" si="28"/>
        <v>0</v>
      </c>
      <c r="L203" s="60">
        <f t="shared" ca="1" si="28"/>
        <v>0</v>
      </c>
      <c r="M203" s="60">
        <f t="shared" ca="1" si="28"/>
        <v>0</v>
      </c>
      <c r="N203" s="60">
        <f t="shared" ca="1" si="28"/>
        <v>0</v>
      </c>
      <c r="O203" s="60">
        <f t="shared" ca="1" si="28"/>
        <v>0</v>
      </c>
      <c r="P203" s="60">
        <f t="shared" ca="1" si="28"/>
        <v>0</v>
      </c>
      <c r="Q203" s="48">
        <f t="shared" ca="1" si="28"/>
        <v>0</v>
      </c>
    </row>
    <row r="204" spans="1:17" x14ac:dyDescent="0.25">
      <c r="D204" s="45" t="s">
        <v>271</v>
      </c>
      <c r="G204" s="60">
        <f>IF(F166="-",0,G203*(12/F188)/F166)</f>
        <v>0</v>
      </c>
      <c r="H204" s="60">
        <f t="shared" ref="H204:Q204" si="29">IF(OR($F$166="-",$F$166=0),0,H203/$F$166)</f>
        <v>0</v>
      </c>
      <c r="I204" s="60">
        <f t="shared" si="29"/>
        <v>0</v>
      </c>
      <c r="J204" s="60">
        <f t="shared" si="29"/>
        <v>0</v>
      </c>
      <c r="K204" s="60">
        <f t="shared" si="29"/>
        <v>0</v>
      </c>
      <c r="L204" s="60">
        <f t="shared" si="29"/>
        <v>0</v>
      </c>
      <c r="M204" s="60">
        <f t="shared" si="29"/>
        <v>0</v>
      </c>
      <c r="N204" s="60">
        <f t="shared" si="29"/>
        <v>0</v>
      </c>
      <c r="O204" s="60">
        <f t="shared" si="29"/>
        <v>0</v>
      </c>
      <c r="P204" s="60">
        <f t="shared" si="29"/>
        <v>0</v>
      </c>
      <c r="Q204" s="48">
        <f t="shared" si="29"/>
        <v>0</v>
      </c>
    </row>
    <row r="205" spans="1:17" ht="9.9499999999999993" customHeight="1" x14ac:dyDescent="0.25">
      <c r="D205" s="45"/>
      <c r="G205" s="60"/>
      <c r="H205" s="60"/>
      <c r="I205" s="60"/>
      <c r="J205" s="60"/>
      <c r="K205" s="60"/>
      <c r="L205" s="60"/>
      <c r="M205" s="60"/>
      <c r="N205" s="60"/>
      <c r="O205" s="60"/>
      <c r="P205" s="60"/>
      <c r="Q205" s="48"/>
    </row>
    <row r="206" spans="1:17" x14ac:dyDescent="0.25">
      <c r="D206" s="45" t="s">
        <v>180</v>
      </c>
      <c r="G206" s="14">
        <f ca="1">IF(SUM(G200:G201)=0,0,G198/SUM(G200:G201))</f>
        <v>0</v>
      </c>
      <c r="H206" s="14">
        <f ca="1">IF(SUM(H200:H201)=0,0,H198/SUM(H200:H201))</f>
        <v>0</v>
      </c>
      <c r="I206" s="14">
        <f t="shared" ref="I206:Q206" ca="1" si="30">IF(SUM(I200:I201)=0,0,I198/SUM(I200:I201))</f>
        <v>0</v>
      </c>
      <c r="J206" s="14">
        <f t="shared" ca="1" si="30"/>
        <v>0</v>
      </c>
      <c r="K206" s="14">
        <f t="shared" ca="1" si="30"/>
        <v>0</v>
      </c>
      <c r="L206" s="14">
        <f t="shared" ca="1" si="30"/>
        <v>0</v>
      </c>
      <c r="M206" s="14">
        <f t="shared" ca="1" si="30"/>
        <v>0</v>
      </c>
      <c r="N206" s="14">
        <f t="shared" ca="1" si="30"/>
        <v>0</v>
      </c>
      <c r="O206" s="14">
        <f t="shared" ca="1" si="30"/>
        <v>0</v>
      </c>
      <c r="P206" s="14">
        <f t="shared" ca="1" si="30"/>
        <v>0</v>
      </c>
      <c r="Q206" s="136">
        <f t="shared" ca="1" si="30"/>
        <v>0</v>
      </c>
    </row>
    <row r="207" spans="1:17" ht="9.9499999999999993" customHeight="1" x14ac:dyDescent="0.25">
      <c r="D207" s="45"/>
      <c r="G207" s="60"/>
      <c r="H207" s="60"/>
      <c r="I207" s="60"/>
      <c r="J207" s="60"/>
      <c r="K207" s="60"/>
      <c r="L207" s="60"/>
      <c r="M207" s="60"/>
      <c r="N207" s="60"/>
      <c r="O207" s="60"/>
      <c r="P207" s="60"/>
      <c r="Q207" s="48"/>
    </row>
    <row r="208" spans="1:17" hidden="1" x14ac:dyDescent="0.25">
      <c r="A208" s="2" t="str">
        <f>A112</f>
        <v>MH</v>
      </c>
      <c r="D208" s="45" t="str">
        <f t="shared" ref="D208:D215" si="31">D112</f>
        <v xml:space="preserve">MaineHousing - </v>
      </c>
      <c r="G208" s="60">
        <f ca="1">IF(YEAR(G$189)-YEAR($F$189)&lt;=$M$112,IF($I$112&lt;&gt;"Amortizing",$G$112,IF(AND(YEAR(G$189)-YEAR($F$189)=$L$112,$L$112=$M$112),0,$G$112+CUMPRINC($K$112/12,$L$112*12,$G$112,1,$F$188+((YEAR(G$189)-YEAR($F$189))*12),0))),0)</f>
        <v>0</v>
      </c>
      <c r="H208" s="60">
        <f t="shared" ref="H208:Q208" ca="1" si="32">IF(YEAR(H$189)-YEAR($F$189)&lt;=$M$112,IF($I$112&lt;&gt;"Amortizing",$G$112,IF(AND(YEAR(H$189)-YEAR($F$189)=$L$112,$L$112=$M$112),0,$G$112+CUMPRINC($K$112/12,$L$112*12,$G$112,1,$F$188+((YEAR(H$189)-YEAR($F$189))*12),0))),0)</f>
        <v>0</v>
      </c>
      <c r="I208" s="60">
        <f t="shared" ca="1" si="32"/>
        <v>0</v>
      </c>
      <c r="J208" s="60">
        <f t="shared" ca="1" si="32"/>
        <v>0</v>
      </c>
      <c r="K208" s="60">
        <f t="shared" ca="1" si="32"/>
        <v>0</v>
      </c>
      <c r="L208" s="60">
        <f t="shared" ca="1" si="32"/>
        <v>0</v>
      </c>
      <c r="M208" s="60">
        <f t="shared" ca="1" si="32"/>
        <v>0</v>
      </c>
      <c r="N208" s="60">
        <f t="shared" ca="1" si="32"/>
        <v>0</v>
      </c>
      <c r="O208" s="60">
        <f t="shared" ca="1" si="32"/>
        <v>0</v>
      </c>
      <c r="P208" s="60">
        <f t="shared" ca="1" si="32"/>
        <v>0</v>
      </c>
      <c r="Q208" s="48">
        <f t="shared" ca="1" si="32"/>
        <v>0</v>
      </c>
    </row>
    <row r="209" spans="1:17" hidden="1" x14ac:dyDescent="0.25">
      <c r="A209" s="2" t="str">
        <f t="shared" ref="A209:A215" si="33">A113</f>
        <v>MH</v>
      </c>
      <c r="D209" s="45" t="str">
        <f t="shared" si="31"/>
        <v xml:space="preserve">MaineHousing - </v>
      </c>
      <c r="G209" s="60">
        <f ca="1">IF(YEAR(G$189)-YEAR($F$189)&lt;=$M$113,IF($I$112&lt;&gt;"Amortizing",$G$113,IF(AND(YEAR(G$189)-YEAR($F$189)=$L$113,$L$113=$M$113),0,$G$113+CUMPRINC($K$113/12,$L$113*12,$G$113,1,$F$188+((YEAR(G$189)-YEAR($F$189))*12),0))),0)</f>
        <v>0</v>
      </c>
      <c r="H209" s="60">
        <f t="shared" ref="H209:Q209" ca="1" si="34">IF(YEAR(H$189)-YEAR($F$189)&lt;=$M$113,IF($I$112&lt;&gt;"Amortizing",$G$113,IF(AND(YEAR(H$189)-YEAR($F$189)=$L$113,$L$113=$M$113),0,$G$113+CUMPRINC($K$113/12,$L$113*12,$G$113,1,$F$188+((YEAR(H$189)-YEAR($F$189))*12),0))),0)</f>
        <v>0</v>
      </c>
      <c r="I209" s="60">
        <f t="shared" ca="1" si="34"/>
        <v>0</v>
      </c>
      <c r="J209" s="60">
        <f t="shared" ca="1" si="34"/>
        <v>0</v>
      </c>
      <c r="K209" s="60">
        <f t="shared" ca="1" si="34"/>
        <v>0</v>
      </c>
      <c r="L209" s="60">
        <f t="shared" ca="1" si="34"/>
        <v>0</v>
      </c>
      <c r="M209" s="60">
        <f t="shared" ca="1" si="34"/>
        <v>0</v>
      </c>
      <c r="N209" s="60">
        <f t="shared" ca="1" si="34"/>
        <v>0</v>
      </c>
      <c r="O209" s="60">
        <f t="shared" ca="1" si="34"/>
        <v>0</v>
      </c>
      <c r="P209" s="60">
        <f t="shared" ca="1" si="34"/>
        <v>0</v>
      </c>
      <c r="Q209" s="48">
        <f t="shared" ca="1" si="34"/>
        <v>0</v>
      </c>
    </row>
    <row r="210" spans="1:17" hidden="1" x14ac:dyDescent="0.25">
      <c r="A210" s="2" t="str">
        <f t="shared" si="33"/>
        <v>MH</v>
      </c>
      <c r="D210" s="45" t="str">
        <f t="shared" si="31"/>
        <v xml:space="preserve">MaineHousing - </v>
      </c>
      <c r="G210" s="60">
        <f ca="1">IF(YEAR(G$189)-YEAR($F$189)&lt;=$M$114,IF($I$114&lt;&gt;"Amortizing",$G$114,IF(AND(YEAR(G$189)-YEAR($F$189)=$L$114,$L$114=$M$114),0,$G$114+CUMPRINC($K$114/12,$L$114*12,$G$114,1,$F$188+((YEAR(G$189)-YEAR($F$189))*12),0))),0)</f>
        <v>0</v>
      </c>
      <c r="H210" s="60">
        <f t="shared" ref="H210:Q210" ca="1" si="35">IF(YEAR(H$189)-YEAR($F$189)&lt;=$M$114,IF($I$114&lt;&gt;"Amortizing",$G$114,IF(AND(YEAR(H$189)-YEAR($F$189)=$L$114,$L$114=$M$114),0,$G$114+CUMPRINC($K$114/12,$L$114*12,$G$114,1,$F$188+((YEAR(H$189)-YEAR($F$189))*12),0))),0)</f>
        <v>0</v>
      </c>
      <c r="I210" s="60">
        <f t="shared" ca="1" si="35"/>
        <v>0</v>
      </c>
      <c r="J210" s="60">
        <f t="shared" ca="1" si="35"/>
        <v>0</v>
      </c>
      <c r="K210" s="60">
        <f t="shared" ca="1" si="35"/>
        <v>0</v>
      </c>
      <c r="L210" s="60">
        <f t="shared" ca="1" si="35"/>
        <v>0</v>
      </c>
      <c r="M210" s="60">
        <f t="shared" ca="1" si="35"/>
        <v>0</v>
      </c>
      <c r="N210" s="60">
        <f t="shared" ca="1" si="35"/>
        <v>0</v>
      </c>
      <c r="O210" s="60">
        <f t="shared" ca="1" si="35"/>
        <v>0</v>
      </c>
      <c r="P210" s="60">
        <f t="shared" ca="1" si="35"/>
        <v>0</v>
      </c>
      <c r="Q210" s="48">
        <f t="shared" ca="1" si="35"/>
        <v>0</v>
      </c>
    </row>
    <row r="211" spans="1:17" hidden="1" x14ac:dyDescent="0.25">
      <c r="A211" s="2" t="str">
        <f t="shared" si="33"/>
        <v>MH</v>
      </c>
      <c r="D211" s="45" t="str">
        <f t="shared" si="31"/>
        <v xml:space="preserve">MaineHousing - </v>
      </c>
      <c r="G211" s="60">
        <f ca="1">IF(YEAR(G$189)-YEAR($F$189)&lt;=$M$115,IF($I$115&lt;&gt;"Amortizing",$G$115,IF(AND(YEAR(G$189)-YEAR($F$189)=$L$115,$L$115=$M$115),0,$G$115+CUMPRINC($K$115/12,$L$115*12,$G$115,1,$F$188+((YEAR(G$189)-YEAR($F$189))*12),0))),0)</f>
        <v>0</v>
      </c>
      <c r="H211" s="60">
        <f t="shared" ref="H211:Q211" ca="1" si="36">IF(YEAR(H$189)-YEAR($F$189)&lt;=$M$115,IF($I$115&lt;&gt;"Amortizing",$G$115,IF(AND(YEAR(H$189)-YEAR($F$189)=$L$115,$L$115=$M$115),0,$G$115+CUMPRINC($K$115/12,$L$115*12,$G$115,1,$F$188+((YEAR(H$189)-YEAR($F$189))*12),0))),0)</f>
        <v>0</v>
      </c>
      <c r="I211" s="60">
        <f t="shared" ca="1" si="36"/>
        <v>0</v>
      </c>
      <c r="J211" s="60">
        <f t="shared" ca="1" si="36"/>
        <v>0</v>
      </c>
      <c r="K211" s="60">
        <f t="shared" ca="1" si="36"/>
        <v>0</v>
      </c>
      <c r="L211" s="60">
        <f t="shared" ca="1" si="36"/>
        <v>0</v>
      </c>
      <c r="M211" s="60">
        <f t="shared" ca="1" si="36"/>
        <v>0</v>
      </c>
      <c r="N211" s="60">
        <f t="shared" ca="1" si="36"/>
        <v>0</v>
      </c>
      <c r="O211" s="60">
        <f t="shared" ca="1" si="36"/>
        <v>0</v>
      </c>
      <c r="P211" s="60">
        <f t="shared" ca="1" si="36"/>
        <v>0</v>
      </c>
      <c r="Q211" s="48">
        <f t="shared" ca="1" si="36"/>
        <v>0</v>
      </c>
    </row>
    <row r="212" spans="1:17" hidden="1" x14ac:dyDescent="0.25">
      <c r="A212" s="2" t="str">
        <f t="shared" si="33"/>
        <v>Other</v>
      </c>
      <c r="D212" s="45" t="str">
        <f t="shared" si="31"/>
        <v xml:space="preserve"> - </v>
      </c>
      <c r="G212" s="60">
        <f ca="1">IF(YEAR(G$189)-YEAR($F$189)&lt;=$M$116,IF($I$116&lt;&gt;"Amortizing",$G$116,IF(AND(YEAR(G$189)-YEAR($F$189)=$L$116,$L$116=$M$116),0,$G$116+CUMPRINC($K$116/12,$L$116*12,$G$116,1,$F$188+((YEAR(G$189)-YEAR($F$189))*12),0))),0)</f>
        <v>0</v>
      </c>
      <c r="H212" s="60">
        <f t="shared" ref="H212:Q212" ca="1" si="37">IF(YEAR(H$189)-YEAR($F$189)&lt;=$M$116,IF($I$116&lt;&gt;"Amortizing",$G$116,IF(AND(YEAR(H$189)-YEAR($F$189)=$L$116,$L$116=$M$116),0,$G$116+CUMPRINC($K$116/12,$L$116*12,$G$116,1,$F$188+((YEAR(H$189)-YEAR($F$189))*12),0))),0)</f>
        <v>0</v>
      </c>
      <c r="I212" s="60">
        <f t="shared" ca="1" si="37"/>
        <v>0</v>
      </c>
      <c r="J212" s="60">
        <f t="shared" ca="1" si="37"/>
        <v>0</v>
      </c>
      <c r="K212" s="60">
        <f t="shared" ca="1" si="37"/>
        <v>0</v>
      </c>
      <c r="L212" s="60">
        <f t="shared" ca="1" si="37"/>
        <v>0</v>
      </c>
      <c r="M212" s="60">
        <f t="shared" ca="1" si="37"/>
        <v>0</v>
      </c>
      <c r="N212" s="60">
        <f t="shared" ca="1" si="37"/>
        <v>0</v>
      </c>
      <c r="O212" s="60">
        <f t="shared" ca="1" si="37"/>
        <v>0</v>
      </c>
      <c r="P212" s="60">
        <f t="shared" ca="1" si="37"/>
        <v>0</v>
      </c>
      <c r="Q212" s="48">
        <f t="shared" ca="1" si="37"/>
        <v>0</v>
      </c>
    </row>
    <row r="213" spans="1:17" hidden="1" x14ac:dyDescent="0.25">
      <c r="A213" s="2" t="str">
        <f t="shared" si="33"/>
        <v>Other</v>
      </c>
      <c r="D213" s="45" t="str">
        <f t="shared" si="31"/>
        <v xml:space="preserve"> - </v>
      </c>
      <c r="G213" s="60">
        <f ca="1">IF(YEAR(G$189)-YEAR($F$189)&lt;=$M$117,IF($I$117&lt;&gt;"Amortizing",$G$117,IF(AND(YEAR(G$189)-YEAR($F$189)=$L$117,$L$117=$M$117),0,$G$117+CUMPRINC($K$117/12,$L$117*12,$G$117,1,$F$188+((YEAR(G$189)-YEAR($F$189))*12),0))),0)</f>
        <v>0</v>
      </c>
      <c r="H213" s="60">
        <f t="shared" ref="H213:Q213" ca="1" si="38">IF(YEAR(H$189)-YEAR($F$189)&lt;=$M$117,IF($I$117&lt;&gt;"Amortizing",$G$117,IF(AND(YEAR(H$189)-YEAR($F$189)=$L$117,$L$117=$M$117),0,$G$117+CUMPRINC($K$117/12,$L$117*12,$G$117,1,$F$188+((YEAR(H$189)-YEAR($F$189))*12),0))),0)</f>
        <v>0</v>
      </c>
      <c r="I213" s="60">
        <f t="shared" ca="1" si="38"/>
        <v>0</v>
      </c>
      <c r="J213" s="60">
        <f t="shared" ca="1" si="38"/>
        <v>0</v>
      </c>
      <c r="K213" s="60">
        <f t="shared" ca="1" si="38"/>
        <v>0</v>
      </c>
      <c r="L213" s="60">
        <f t="shared" ca="1" si="38"/>
        <v>0</v>
      </c>
      <c r="M213" s="60">
        <f t="shared" ca="1" si="38"/>
        <v>0</v>
      </c>
      <c r="N213" s="60">
        <f t="shared" ca="1" si="38"/>
        <v>0</v>
      </c>
      <c r="O213" s="60">
        <f t="shared" ca="1" si="38"/>
        <v>0</v>
      </c>
      <c r="P213" s="60">
        <f t="shared" ca="1" si="38"/>
        <v>0</v>
      </c>
      <c r="Q213" s="48">
        <f t="shared" ca="1" si="38"/>
        <v>0</v>
      </c>
    </row>
    <row r="214" spans="1:17" hidden="1" x14ac:dyDescent="0.25">
      <c r="A214" s="2" t="str">
        <f t="shared" si="33"/>
        <v>Other</v>
      </c>
      <c r="D214" s="45" t="str">
        <f t="shared" si="31"/>
        <v xml:space="preserve"> - </v>
      </c>
      <c r="G214" s="60">
        <f ca="1">IF(YEAR(G$189)-YEAR($F$189)&lt;=$M$118,IF($I$118&lt;&gt;"Amortizing",$G$118,IF(AND(YEAR(G$189)-YEAR($F$189)=$L$118,$L$118=$M$118),0,$G$118+CUMPRINC($K$118/12,$L$118*12,$G$118,1,$F$188+((YEAR(G$189)-YEAR($F$189))*12),0))),0)</f>
        <v>0</v>
      </c>
      <c r="H214" s="60">
        <f t="shared" ref="H214:Q214" ca="1" si="39">IF(YEAR(H$189)-YEAR($F$189)&lt;=$M$118,IF($I$118&lt;&gt;"Amortizing",$G$118,IF(AND(YEAR(H$189)-YEAR($F$189)=$L$118,$L$118=$M$118),0,$G$118+CUMPRINC($K$118/12,$L$118*12,$G$118,1,$F$188+((YEAR(H$189)-YEAR($F$189))*12),0))),0)</f>
        <v>0</v>
      </c>
      <c r="I214" s="60">
        <f t="shared" ca="1" si="39"/>
        <v>0</v>
      </c>
      <c r="J214" s="60">
        <f t="shared" ca="1" si="39"/>
        <v>0</v>
      </c>
      <c r="K214" s="60">
        <f t="shared" ca="1" si="39"/>
        <v>0</v>
      </c>
      <c r="L214" s="60">
        <f t="shared" ca="1" si="39"/>
        <v>0</v>
      </c>
      <c r="M214" s="60">
        <f t="shared" ca="1" si="39"/>
        <v>0</v>
      </c>
      <c r="N214" s="60">
        <f t="shared" ca="1" si="39"/>
        <v>0</v>
      </c>
      <c r="O214" s="60">
        <f t="shared" ca="1" si="39"/>
        <v>0</v>
      </c>
      <c r="P214" s="60">
        <f t="shared" ca="1" si="39"/>
        <v>0</v>
      </c>
      <c r="Q214" s="48">
        <f t="shared" ca="1" si="39"/>
        <v>0</v>
      </c>
    </row>
    <row r="215" spans="1:17" hidden="1" x14ac:dyDescent="0.25">
      <c r="A215" s="2" t="str">
        <f t="shared" si="33"/>
        <v>Other</v>
      </c>
      <c r="D215" s="45" t="str">
        <f t="shared" si="31"/>
        <v xml:space="preserve"> - </v>
      </c>
      <c r="G215" s="60">
        <f ca="1">IF(YEAR(G$189)-YEAR($F$189)&lt;=$M$119,IF($I$119&lt;&gt;"Amortizing",$G$119,IF(AND(YEAR(G$189)-YEAR($F$189)=$L$119,$L$119=$M$119),0,$G$119+CUMPRINC($K$119/12,$L$119*12,$G$119,1,$F$188+((YEAR(G$189)-YEAR($F$189))*12),0))),0)</f>
        <v>0</v>
      </c>
      <c r="H215" s="60">
        <f t="shared" ref="H215:Q215" ca="1" si="40">IF(YEAR(H$189)-YEAR($F$189)&lt;=$M$119,IF($I$119&lt;&gt;"Amortizing",$G$119,IF(AND(YEAR(H$189)-YEAR($F$189)=$L$119,$L$119=$M$119),0,$G$119+CUMPRINC($K$119/12,$L$119*12,$G$119,1,$F$188+((YEAR(H$189)-YEAR($F$189))*12),0))),0)</f>
        <v>0</v>
      </c>
      <c r="I215" s="60">
        <f t="shared" ca="1" si="40"/>
        <v>0</v>
      </c>
      <c r="J215" s="60">
        <f t="shared" ca="1" si="40"/>
        <v>0</v>
      </c>
      <c r="K215" s="60">
        <f t="shared" ca="1" si="40"/>
        <v>0</v>
      </c>
      <c r="L215" s="60">
        <f t="shared" ca="1" si="40"/>
        <v>0</v>
      </c>
      <c r="M215" s="60">
        <f t="shared" ca="1" si="40"/>
        <v>0</v>
      </c>
      <c r="N215" s="60">
        <f t="shared" ca="1" si="40"/>
        <v>0</v>
      </c>
      <c r="O215" s="60">
        <f t="shared" ca="1" si="40"/>
        <v>0</v>
      </c>
      <c r="P215" s="60">
        <f t="shared" ca="1" si="40"/>
        <v>0</v>
      </c>
      <c r="Q215" s="48">
        <f t="shared" ca="1" si="40"/>
        <v>0</v>
      </c>
    </row>
    <row r="216" spans="1:17" x14ac:dyDescent="0.25">
      <c r="D216" s="45" t="s">
        <v>269</v>
      </c>
      <c r="G216" s="60">
        <f ca="1">SUMIFS(G$208:G$215,$A$208:$A$215,"MH")</f>
        <v>0</v>
      </c>
      <c r="H216" s="60">
        <f ca="1">SUMIFS(H$208:H$215,$A$208:$A$215,"MH")</f>
        <v>0</v>
      </c>
      <c r="I216" s="60">
        <f t="shared" ref="I216:Q216" ca="1" si="41">SUMIFS(I$208:I$215,$A$208:$A$215,"MH")</f>
        <v>0</v>
      </c>
      <c r="J216" s="60">
        <f t="shared" ca="1" si="41"/>
        <v>0</v>
      </c>
      <c r="K216" s="60">
        <f t="shared" ca="1" si="41"/>
        <v>0</v>
      </c>
      <c r="L216" s="60">
        <f t="shared" ca="1" si="41"/>
        <v>0</v>
      </c>
      <c r="M216" s="60">
        <f t="shared" ca="1" si="41"/>
        <v>0</v>
      </c>
      <c r="N216" s="60">
        <f t="shared" ca="1" si="41"/>
        <v>0</v>
      </c>
      <c r="O216" s="60">
        <f t="shared" ca="1" si="41"/>
        <v>0</v>
      </c>
      <c r="P216" s="60">
        <f t="shared" ca="1" si="41"/>
        <v>0</v>
      </c>
      <c r="Q216" s="48">
        <f t="shared" ca="1" si="41"/>
        <v>0</v>
      </c>
    </row>
    <row r="217" spans="1:17" x14ac:dyDescent="0.25">
      <c r="D217" s="43" t="s">
        <v>270</v>
      </c>
      <c r="E217" s="27"/>
      <c r="F217" s="27"/>
      <c r="G217" s="61">
        <f ca="1">SUMIFS(G$208:G$215,$A$208:$A$215,"&lt;&gt;"&amp;"MH")</f>
        <v>0</v>
      </c>
      <c r="H217" s="61">
        <f ca="1">SUMIFS(H$208:H$215,$A$208:$A$215,"&lt;&gt;"&amp;"MH")</f>
        <v>0</v>
      </c>
      <c r="I217" s="61">
        <f t="shared" ref="I217:Q217" ca="1" si="42">SUMIFS(I$208:I$215,$A$208:$A$215,"&lt;&gt;"&amp;"MH")</f>
        <v>0</v>
      </c>
      <c r="J217" s="61">
        <f t="shared" ca="1" si="42"/>
        <v>0</v>
      </c>
      <c r="K217" s="61">
        <f t="shared" ca="1" si="42"/>
        <v>0</v>
      </c>
      <c r="L217" s="61">
        <f t="shared" ca="1" si="42"/>
        <v>0</v>
      </c>
      <c r="M217" s="61">
        <f t="shared" ca="1" si="42"/>
        <v>0</v>
      </c>
      <c r="N217" s="61">
        <f t="shared" ca="1" si="42"/>
        <v>0</v>
      </c>
      <c r="O217" s="61">
        <f t="shared" ca="1" si="42"/>
        <v>0</v>
      </c>
      <c r="P217" s="61">
        <f t="shared" ca="1" si="42"/>
        <v>0</v>
      </c>
      <c r="Q217" s="65">
        <f t="shared" ca="1" si="42"/>
        <v>0</v>
      </c>
    </row>
    <row r="218" spans="1:17" hidden="1" x14ac:dyDescent="0.25"/>
    <row r="219" spans="1:17" ht="8.1" customHeight="1" x14ac:dyDescent="0.25"/>
    <row r="220" spans="1:17" x14ac:dyDescent="0.25">
      <c r="D220" s="51"/>
      <c r="E220" s="52"/>
      <c r="F220" s="119"/>
      <c r="G220" s="119"/>
      <c r="H220" s="119">
        <f ca="1">EOMONTH(Q189,12)</f>
        <v>51135</v>
      </c>
      <c r="I220" s="119">
        <f t="shared" ref="I220:Q220" ca="1" si="43">EOMONTH(H220,12)</f>
        <v>51501</v>
      </c>
      <c r="J220" s="119">
        <f t="shared" ca="1" si="43"/>
        <v>51866</v>
      </c>
      <c r="K220" s="119">
        <f t="shared" ca="1" si="43"/>
        <v>52231</v>
      </c>
      <c r="L220" s="119">
        <f t="shared" ca="1" si="43"/>
        <v>52596</v>
      </c>
      <c r="M220" s="119">
        <f t="shared" ca="1" si="43"/>
        <v>52962</v>
      </c>
      <c r="N220" s="119">
        <f t="shared" ca="1" si="43"/>
        <v>53327</v>
      </c>
      <c r="O220" s="119">
        <f t="shared" ca="1" si="43"/>
        <v>53692</v>
      </c>
      <c r="P220" s="119">
        <f t="shared" ca="1" si="43"/>
        <v>54057</v>
      </c>
      <c r="Q220" s="120">
        <f t="shared" ca="1" si="43"/>
        <v>54423</v>
      </c>
    </row>
    <row r="221" spans="1:17" x14ac:dyDescent="0.25">
      <c r="D221" s="45" t="s">
        <v>234</v>
      </c>
      <c r="G221" s="60"/>
      <c r="H221" s="60">
        <f ca="1">Q190*(1+IF(YEAR(H220)-YEAR($G$189)&lt;6,$O$7,IF(YEAR(H220)-YEAR($G$189)&lt;16,$P$7,$Q$7)))</f>
        <v>0</v>
      </c>
      <c r="I221" s="60">
        <f t="shared" ref="I221:Q221" ca="1" si="44">H221*(1+IF(YEAR(I220)-YEAR($G$189)&lt;6,$O$7,IF(YEAR(I220)-YEAR($G$189)&lt;16,$P$7,$Q$7)))</f>
        <v>0</v>
      </c>
      <c r="J221" s="60">
        <f t="shared" ca="1" si="44"/>
        <v>0</v>
      </c>
      <c r="K221" s="60">
        <f t="shared" ca="1" si="44"/>
        <v>0</v>
      </c>
      <c r="L221" s="60">
        <f t="shared" ca="1" si="44"/>
        <v>0</v>
      </c>
      <c r="M221" s="60">
        <f t="shared" ca="1" si="44"/>
        <v>0</v>
      </c>
      <c r="N221" s="60">
        <f t="shared" ca="1" si="44"/>
        <v>0</v>
      </c>
      <c r="O221" s="60">
        <f t="shared" ca="1" si="44"/>
        <v>0</v>
      </c>
      <c r="P221" s="60">
        <f t="shared" ca="1" si="44"/>
        <v>0</v>
      </c>
      <c r="Q221" s="48">
        <f t="shared" ca="1" si="44"/>
        <v>0</v>
      </c>
    </row>
    <row r="222" spans="1:17" x14ac:dyDescent="0.25">
      <c r="D222" s="45" t="s">
        <v>264</v>
      </c>
      <c r="G222" s="60"/>
      <c r="H222" s="60">
        <f ca="1">Q191*(1+IF(YEAR(H220)-YEAR($G$189)&lt;6,$O$8,IF(YEAR(H220)-YEAR($G$189)&lt;16,$P$8,$Q$8)))</f>
        <v>0</v>
      </c>
      <c r="I222" s="60">
        <f t="shared" ref="I222:Q222" ca="1" si="45">H222*(1+IF(YEAR(I220)-YEAR($G$189)&lt;6,$O$8,IF(YEAR(I220)-YEAR($G$189)&lt;16,$P$8,$Q$8)))</f>
        <v>0</v>
      </c>
      <c r="J222" s="60">
        <f t="shared" ca="1" si="45"/>
        <v>0</v>
      </c>
      <c r="K222" s="60">
        <f t="shared" ca="1" si="45"/>
        <v>0</v>
      </c>
      <c r="L222" s="60">
        <f t="shared" ca="1" si="45"/>
        <v>0</v>
      </c>
      <c r="M222" s="60">
        <f t="shared" ca="1" si="45"/>
        <v>0</v>
      </c>
      <c r="N222" s="60">
        <f t="shared" ca="1" si="45"/>
        <v>0</v>
      </c>
      <c r="O222" s="60">
        <f t="shared" ca="1" si="45"/>
        <v>0</v>
      </c>
      <c r="P222" s="60">
        <f t="shared" ca="1" si="45"/>
        <v>0</v>
      </c>
      <c r="Q222" s="48">
        <f t="shared" ca="1" si="45"/>
        <v>0</v>
      </c>
    </row>
    <row r="223" spans="1:17" x14ac:dyDescent="0.25">
      <c r="D223" s="45" t="s">
        <v>265</v>
      </c>
      <c r="G223" s="60"/>
      <c r="H223" s="60">
        <f t="shared" ref="H223:Q223" ca="1" si="46">H221-H222</f>
        <v>0</v>
      </c>
      <c r="I223" s="60">
        <f t="shared" ca="1" si="46"/>
        <v>0</v>
      </c>
      <c r="J223" s="60">
        <f t="shared" ca="1" si="46"/>
        <v>0</v>
      </c>
      <c r="K223" s="60">
        <f t="shared" ca="1" si="46"/>
        <v>0</v>
      </c>
      <c r="L223" s="60">
        <f t="shared" ca="1" si="46"/>
        <v>0</v>
      </c>
      <c r="M223" s="60">
        <f t="shared" ca="1" si="46"/>
        <v>0</v>
      </c>
      <c r="N223" s="60">
        <f t="shared" ca="1" si="46"/>
        <v>0</v>
      </c>
      <c r="O223" s="60">
        <f t="shared" ca="1" si="46"/>
        <v>0</v>
      </c>
      <c r="P223" s="60">
        <f t="shared" ca="1" si="46"/>
        <v>0</v>
      </c>
      <c r="Q223" s="48">
        <f t="shared" ca="1" si="46"/>
        <v>0</v>
      </c>
    </row>
    <row r="224" spans="1:17" ht="9.9499999999999993" customHeight="1" x14ac:dyDescent="0.25">
      <c r="D224" s="45"/>
      <c r="G224" s="60"/>
      <c r="H224" s="60"/>
      <c r="I224" s="60"/>
      <c r="J224" s="60"/>
      <c r="K224" s="60"/>
      <c r="L224" s="60"/>
      <c r="M224" s="60"/>
      <c r="N224" s="60"/>
      <c r="O224" s="60"/>
      <c r="P224" s="60"/>
      <c r="Q224" s="48"/>
    </row>
    <row r="225" spans="1:17" x14ac:dyDescent="0.25">
      <c r="D225" s="45" t="s">
        <v>147</v>
      </c>
      <c r="G225" s="60"/>
      <c r="H225" s="60">
        <f ca="1">Q194*(1+IF(YEAR(H220)-YEAR($G$189)&lt;6,$O$8,IF(YEAR(H220)-YEAR($G$189)&lt;16,$P$8,$Q$8)))</f>
        <v>0</v>
      </c>
      <c r="I225" s="60">
        <f t="shared" ref="I225:Q225" ca="1" si="47">H225*(1+IF(YEAR(I220)-YEAR($G$189)&lt;6,$O$8,IF(YEAR(I220)-YEAR($G$189)&lt;16,$P$8,$Q$8)))</f>
        <v>0</v>
      </c>
      <c r="J225" s="60">
        <f t="shared" ca="1" si="47"/>
        <v>0</v>
      </c>
      <c r="K225" s="60">
        <f t="shared" ca="1" si="47"/>
        <v>0</v>
      </c>
      <c r="L225" s="60">
        <f t="shared" ca="1" si="47"/>
        <v>0</v>
      </c>
      <c r="M225" s="60">
        <f t="shared" ca="1" si="47"/>
        <v>0</v>
      </c>
      <c r="N225" s="60">
        <f t="shared" ca="1" si="47"/>
        <v>0</v>
      </c>
      <c r="O225" s="60">
        <f t="shared" ca="1" si="47"/>
        <v>0</v>
      </c>
      <c r="P225" s="60">
        <f t="shared" ca="1" si="47"/>
        <v>0</v>
      </c>
      <c r="Q225" s="48">
        <f t="shared" ca="1" si="47"/>
        <v>0</v>
      </c>
    </row>
    <row r="226" spans="1:17" x14ac:dyDescent="0.25">
      <c r="D226" s="45" t="s">
        <v>274</v>
      </c>
      <c r="G226" s="60"/>
      <c r="H226" s="60">
        <f ca="1">Q195*(1+IF(YEAR(H220)-YEAR($G$189)&lt;6,$O$8,IF(YEAR(H220)-YEAR($G$189)&lt;16,$P$8,$Q$8)))</f>
        <v>0</v>
      </c>
      <c r="I226" s="60">
        <f t="shared" ref="I226:Q226" ca="1" si="48">H226*(1+IF(YEAR(I220)-YEAR($G$189)&lt;6,$O$8,IF(YEAR(I220)-YEAR($G$189)&lt;16,$P$8,$Q$8)))</f>
        <v>0</v>
      </c>
      <c r="J226" s="60">
        <f t="shared" ca="1" si="48"/>
        <v>0</v>
      </c>
      <c r="K226" s="60">
        <f t="shared" ca="1" si="48"/>
        <v>0</v>
      </c>
      <c r="L226" s="60">
        <f t="shared" ca="1" si="48"/>
        <v>0</v>
      </c>
      <c r="M226" s="60">
        <f t="shared" ca="1" si="48"/>
        <v>0</v>
      </c>
      <c r="N226" s="60">
        <f t="shared" ca="1" si="48"/>
        <v>0</v>
      </c>
      <c r="O226" s="60">
        <f t="shared" ca="1" si="48"/>
        <v>0</v>
      </c>
      <c r="P226" s="60">
        <f t="shared" ca="1" si="48"/>
        <v>0</v>
      </c>
      <c r="Q226" s="48">
        <f t="shared" ca="1" si="48"/>
        <v>0</v>
      </c>
    </row>
    <row r="227" spans="1:17" x14ac:dyDescent="0.25">
      <c r="D227" s="45" t="s">
        <v>275</v>
      </c>
      <c r="G227" s="60"/>
      <c r="H227" s="60">
        <f t="shared" ref="H227:Q227" ca="1" si="49">H226-H225</f>
        <v>0</v>
      </c>
      <c r="I227" s="60">
        <f t="shared" ca="1" si="49"/>
        <v>0</v>
      </c>
      <c r="J227" s="60">
        <f t="shared" ca="1" si="49"/>
        <v>0</v>
      </c>
      <c r="K227" s="60">
        <f t="shared" ca="1" si="49"/>
        <v>0</v>
      </c>
      <c r="L227" s="60">
        <f t="shared" ca="1" si="49"/>
        <v>0</v>
      </c>
      <c r="M227" s="60">
        <f t="shared" ca="1" si="49"/>
        <v>0</v>
      </c>
      <c r="N227" s="60">
        <f t="shared" ca="1" si="49"/>
        <v>0</v>
      </c>
      <c r="O227" s="60">
        <f t="shared" ca="1" si="49"/>
        <v>0</v>
      </c>
      <c r="P227" s="60">
        <f t="shared" ca="1" si="49"/>
        <v>0</v>
      </c>
      <c r="Q227" s="48">
        <f t="shared" ca="1" si="49"/>
        <v>0</v>
      </c>
    </row>
    <row r="228" spans="1:17" ht="9.9499999999999993" customHeight="1" x14ac:dyDescent="0.25">
      <c r="D228" s="45"/>
      <c r="G228" s="60"/>
      <c r="H228" s="60"/>
      <c r="I228" s="60"/>
      <c r="J228" s="60"/>
      <c r="K228" s="60"/>
      <c r="L228" s="60"/>
      <c r="M228" s="60"/>
      <c r="N228" s="60"/>
      <c r="O228" s="60"/>
      <c r="P228" s="60"/>
      <c r="Q228" s="48"/>
    </row>
    <row r="229" spans="1:17" x14ac:dyDescent="0.25">
      <c r="D229" s="45" t="s">
        <v>276</v>
      </c>
      <c r="G229" s="60"/>
      <c r="H229" s="60">
        <f ca="1">H223-H227</f>
        <v>0</v>
      </c>
      <c r="I229" s="60">
        <f t="shared" ref="I229:Q229" ca="1" si="50">I223-I227</f>
        <v>0</v>
      </c>
      <c r="J229" s="60">
        <f t="shared" ca="1" si="50"/>
        <v>0</v>
      </c>
      <c r="K229" s="60">
        <f t="shared" ca="1" si="50"/>
        <v>0</v>
      </c>
      <c r="L229" s="60">
        <f t="shared" ca="1" si="50"/>
        <v>0</v>
      </c>
      <c r="M229" s="60">
        <f t="shared" ca="1" si="50"/>
        <v>0</v>
      </c>
      <c r="N229" s="60">
        <f t="shared" ca="1" si="50"/>
        <v>0</v>
      </c>
      <c r="O229" s="60">
        <f t="shared" ca="1" si="50"/>
        <v>0</v>
      </c>
      <c r="P229" s="60">
        <f t="shared" ca="1" si="50"/>
        <v>0</v>
      </c>
      <c r="Q229" s="48">
        <f t="shared" ca="1" si="50"/>
        <v>0</v>
      </c>
    </row>
    <row r="230" spans="1:17" ht="9.9499999999999993" customHeight="1" x14ac:dyDescent="0.25">
      <c r="D230" s="45"/>
      <c r="G230" s="60"/>
      <c r="H230" s="60"/>
      <c r="I230" s="60"/>
      <c r="J230" s="60"/>
      <c r="K230" s="60"/>
      <c r="L230" s="60"/>
      <c r="M230" s="60"/>
      <c r="N230" s="60"/>
      <c r="O230" s="60"/>
      <c r="P230" s="60"/>
      <c r="Q230" s="48"/>
    </row>
    <row r="231" spans="1:17" x14ac:dyDescent="0.25">
      <c r="D231" s="45" t="s">
        <v>266</v>
      </c>
      <c r="G231" s="60"/>
      <c r="H231" s="60">
        <f ca="1">SUMIFS(IF(YEAR(H220)-YEAR($G$189)&lt;6,$O$112:$O$119,IF(YEAR(H220)-YEAR($G$189)&lt;16,$P$112:$P$119,$Q$112:$Q$119)),$A$112:$A$119,"MH",$M$112:$M$119,"&gt;="&amp;YEAR(H220)-YEAR($G$189))</f>
        <v>0</v>
      </c>
      <c r="I231" s="60">
        <f t="shared" ref="I231:Q231" ca="1" si="51">SUMIFS(IF(YEAR(I220)-YEAR($G$189)&lt;6,$O$112:$O$119,IF(YEAR(I220)-YEAR($G$189)&lt;16,$P$112:$P$119,$Q$112:$Q$119)),$A$112:$A$119,"MH",$M$112:$M$119,"&gt;="&amp;YEAR(I220)-YEAR($G$189))</f>
        <v>0</v>
      </c>
      <c r="J231" s="60">
        <f t="shared" ca="1" si="51"/>
        <v>0</v>
      </c>
      <c r="K231" s="60">
        <f t="shared" ca="1" si="51"/>
        <v>0</v>
      </c>
      <c r="L231" s="60">
        <f t="shared" ca="1" si="51"/>
        <v>0</v>
      </c>
      <c r="M231" s="60">
        <f t="shared" ca="1" si="51"/>
        <v>0</v>
      </c>
      <c r="N231" s="60">
        <f t="shared" ca="1" si="51"/>
        <v>0</v>
      </c>
      <c r="O231" s="60">
        <f t="shared" ca="1" si="51"/>
        <v>0</v>
      </c>
      <c r="P231" s="60">
        <f t="shared" ca="1" si="51"/>
        <v>0</v>
      </c>
      <c r="Q231" s="48">
        <f t="shared" ca="1" si="51"/>
        <v>0</v>
      </c>
    </row>
    <row r="232" spans="1:17" x14ac:dyDescent="0.25">
      <c r="D232" s="45" t="s">
        <v>267</v>
      </c>
      <c r="G232" s="60"/>
      <c r="H232" s="60">
        <f ca="1">SUMIFS(IF(YEAR(H220)-YEAR($G$189)&lt;6,$O$112:$O$119,IF(YEAR(H220)-YEAR($G$189)&lt;16,$P$112:$P$119,$Q$112:$Q$119)),$A$112:$A$119,"&lt;&gt;" &amp;"MH",$M$112:$M$119,"&gt;="&amp;YEAR(H220)-YEAR($G$189))</f>
        <v>0</v>
      </c>
      <c r="I232" s="60">
        <f t="shared" ref="I232:Q232" ca="1" si="52">SUMIFS(IF(YEAR(I220)-YEAR($G$189)&lt;6,$O$112:$O$119,IF(YEAR(I220)-YEAR($G$189)&lt;16,$P$112:$P$119,$Q$112:$Q$119)),$A$112:$A$119,"&lt;&gt;" &amp;"MH",$M$112:$M$119,"&gt;="&amp;YEAR(I220)-YEAR($G$189))</f>
        <v>0</v>
      </c>
      <c r="J232" s="60">
        <f t="shared" ca="1" si="52"/>
        <v>0</v>
      </c>
      <c r="K232" s="60">
        <f t="shared" ca="1" si="52"/>
        <v>0</v>
      </c>
      <c r="L232" s="60">
        <f t="shared" ca="1" si="52"/>
        <v>0</v>
      </c>
      <c r="M232" s="60">
        <f t="shared" ca="1" si="52"/>
        <v>0</v>
      </c>
      <c r="N232" s="60">
        <f t="shared" ca="1" si="52"/>
        <v>0</v>
      </c>
      <c r="O232" s="60">
        <f t="shared" ca="1" si="52"/>
        <v>0</v>
      </c>
      <c r="P232" s="60">
        <f t="shared" ca="1" si="52"/>
        <v>0</v>
      </c>
      <c r="Q232" s="48">
        <f t="shared" ca="1" si="52"/>
        <v>0</v>
      </c>
    </row>
    <row r="233" spans="1:17" ht="9.9499999999999993" customHeight="1" x14ac:dyDescent="0.25">
      <c r="D233" s="45"/>
      <c r="G233" s="60"/>
      <c r="H233" s="60"/>
      <c r="I233" s="60"/>
      <c r="J233" s="60"/>
      <c r="K233" s="60"/>
      <c r="L233" s="60"/>
      <c r="M233" s="60"/>
      <c r="N233" s="60"/>
      <c r="O233" s="60"/>
      <c r="P233" s="60"/>
      <c r="Q233" s="48"/>
    </row>
    <row r="234" spans="1:17" x14ac:dyDescent="0.25">
      <c r="D234" s="45" t="s">
        <v>268</v>
      </c>
      <c r="G234" s="60"/>
      <c r="H234" s="60">
        <f ca="1">H229-SUM(H231:H232)</f>
        <v>0</v>
      </c>
      <c r="I234" s="60">
        <f t="shared" ref="I234:Q234" ca="1" si="53">I229-SUM(I231:I232)</f>
        <v>0</v>
      </c>
      <c r="J234" s="60">
        <f t="shared" ca="1" si="53"/>
        <v>0</v>
      </c>
      <c r="K234" s="60">
        <f t="shared" ca="1" si="53"/>
        <v>0</v>
      </c>
      <c r="L234" s="60">
        <f t="shared" ca="1" si="53"/>
        <v>0</v>
      </c>
      <c r="M234" s="60">
        <f t="shared" ca="1" si="53"/>
        <v>0</v>
      </c>
      <c r="N234" s="60">
        <f t="shared" ca="1" si="53"/>
        <v>0</v>
      </c>
      <c r="O234" s="60">
        <f t="shared" ca="1" si="53"/>
        <v>0</v>
      </c>
      <c r="P234" s="60">
        <f t="shared" ca="1" si="53"/>
        <v>0</v>
      </c>
      <c r="Q234" s="48">
        <f t="shared" ca="1" si="53"/>
        <v>0</v>
      </c>
    </row>
    <row r="235" spans="1:17" x14ac:dyDescent="0.25">
      <c r="D235" s="45" t="s">
        <v>271</v>
      </c>
      <c r="G235" s="60"/>
      <c r="H235" s="60">
        <f t="shared" ref="H235:Q235" si="54">IF(OR($F$166="-",$F$166=0),0,H234/$F$166)</f>
        <v>0</v>
      </c>
      <c r="I235" s="60">
        <f t="shared" si="54"/>
        <v>0</v>
      </c>
      <c r="J235" s="60">
        <f t="shared" si="54"/>
        <v>0</v>
      </c>
      <c r="K235" s="60">
        <f t="shared" si="54"/>
        <v>0</v>
      </c>
      <c r="L235" s="60">
        <f t="shared" si="54"/>
        <v>0</v>
      </c>
      <c r="M235" s="60">
        <f t="shared" si="54"/>
        <v>0</v>
      </c>
      <c r="N235" s="60">
        <f t="shared" si="54"/>
        <v>0</v>
      </c>
      <c r="O235" s="60">
        <f t="shared" si="54"/>
        <v>0</v>
      </c>
      <c r="P235" s="60">
        <f t="shared" si="54"/>
        <v>0</v>
      </c>
      <c r="Q235" s="48">
        <f t="shared" si="54"/>
        <v>0</v>
      </c>
    </row>
    <row r="236" spans="1:17" ht="9.9499999999999993" customHeight="1" x14ac:dyDescent="0.25">
      <c r="D236" s="45"/>
      <c r="G236" s="60"/>
      <c r="H236" s="60"/>
      <c r="I236" s="60"/>
      <c r="J236" s="60"/>
      <c r="K236" s="60"/>
      <c r="L236" s="60"/>
      <c r="M236" s="60"/>
      <c r="N236" s="60"/>
      <c r="O236" s="60"/>
      <c r="P236" s="60"/>
      <c r="Q236" s="48"/>
    </row>
    <row r="237" spans="1:17" x14ac:dyDescent="0.25">
      <c r="D237" s="45" t="s">
        <v>180</v>
      </c>
      <c r="G237" s="60"/>
      <c r="H237" s="14">
        <f ca="1">IF(SUM(H231:H232)=0,0,H229/SUM(H231:H232))</f>
        <v>0</v>
      </c>
      <c r="I237" s="14">
        <f t="shared" ref="I237:Q237" ca="1" si="55">IF(SUM(I231:I232)=0,0,I229/SUM(I231:I232))</f>
        <v>0</v>
      </c>
      <c r="J237" s="14">
        <f t="shared" ca="1" si="55"/>
        <v>0</v>
      </c>
      <c r="K237" s="14">
        <f t="shared" ca="1" si="55"/>
        <v>0</v>
      </c>
      <c r="L237" s="14">
        <f t="shared" ca="1" si="55"/>
        <v>0</v>
      </c>
      <c r="M237" s="14">
        <f t="shared" ca="1" si="55"/>
        <v>0</v>
      </c>
      <c r="N237" s="14">
        <f t="shared" ca="1" si="55"/>
        <v>0</v>
      </c>
      <c r="O237" s="14">
        <f t="shared" ca="1" si="55"/>
        <v>0</v>
      </c>
      <c r="P237" s="14">
        <f t="shared" ca="1" si="55"/>
        <v>0</v>
      </c>
      <c r="Q237" s="136">
        <f t="shared" ca="1" si="55"/>
        <v>0</v>
      </c>
    </row>
    <row r="238" spans="1:17" ht="9.9499999999999993" customHeight="1" x14ac:dyDescent="0.25">
      <c r="D238" s="45"/>
      <c r="G238" s="60"/>
      <c r="H238" s="60"/>
      <c r="I238" s="60"/>
      <c r="J238" s="60"/>
      <c r="K238" s="60"/>
      <c r="L238" s="60"/>
      <c r="M238" s="60"/>
      <c r="N238" s="60"/>
      <c r="O238" s="60"/>
      <c r="P238" s="60"/>
      <c r="Q238" s="48"/>
    </row>
    <row r="239" spans="1:17" hidden="1" x14ac:dyDescent="0.25">
      <c r="A239" s="2" t="str">
        <f>A208</f>
        <v>MH</v>
      </c>
      <c r="D239" s="45" t="str">
        <f>D208</f>
        <v xml:space="preserve">MaineHousing - </v>
      </c>
      <c r="G239" s="60"/>
      <c r="H239" s="60">
        <f ca="1">IF(YEAR(H$220)-YEAR($F$189)&lt;=$M$112,IF($I$112&lt;&gt;"Amortizing",$G$112,IF(AND(YEAR(H$220)-YEAR($F$189)=$L$112,$L$112=$M$112),0,$G$112+CUMPRINC($K$112/12,$L$112*12,$G$112,1,$F$188+((YEAR(H$220)-YEAR($F$189))*12),0))),0)</f>
        <v>0</v>
      </c>
      <c r="I239" s="60">
        <f t="shared" ref="I239:Q239" ca="1" si="56">IF(YEAR(I$220)-YEAR($F$189)&lt;=$M$112,IF($I$112&lt;&gt;"Amortizing",$G$112,IF(AND(YEAR(I$220)-YEAR($F$189)=$L$112,$L$112=$M$112),0,$G$112+CUMPRINC($K$112/12,$L$112*12,$G$112,1,$F$188+((YEAR(I$220)-YEAR($F$189))*12),0))),0)</f>
        <v>0</v>
      </c>
      <c r="J239" s="60">
        <f t="shared" ca="1" si="56"/>
        <v>0</v>
      </c>
      <c r="K239" s="60">
        <f t="shared" ca="1" si="56"/>
        <v>0</v>
      </c>
      <c r="L239" s="60">
        <f t="shared" ca="1" si="56"/>
        <v>0</v>
      </c>
      <c r="M239" s="60">
        <f t="shared" ca="1" si="56"/>
        <v>0</v>
      </c>
      <c r="N239" s="60">
        <f t="shared" ca="1" si="56"/>
        <v>0</v>
      </c>
      <c r="O239" s="60">
        <f t="shared" ca="1" si="56"/>
        <v>0</v>
      </c>
      <c r="P239" s="60">
        <f t="shared" ca="1" si="56"/>
        <v>0</v>
      </c>
      <c r="Q239" s="48">
        <f t="shared" ca="1" si="56"/>
        <v>0</v>
      </c>
    </row>
    <row r="240" spans="1:17" hidden="1" x14ac:dyDescent="0.25">
      <c r="A240" s="2" t="str">
        <f t="shared" ref="A240:A246" si="57">A209</f>
        <v>MH</v>
      </c>
      <c r="D240" s="45" t="str">
        <f t="shared" ref="D240:D246" si="58">D209</f>
        <v xml:space="preserve">MaineHousing - </v>
      </c>
      <c r="G240" s="60"/>
      <c r="H240" s="60">
        <f ca="1">IF(YEAR(H$220)-YEAR($F$189)&lt;=$M$113,IF($I$113&lt;&gt;"Amortizing",$G$113,IF(AND(YEAR(H$220)-YEAR($F$189)=$L$113,$L$113=$M$113),0,$G$113+CUMPRINC($K$113/12,$L$113*12,$G$113,1,$F$188+((YEAR(H$220)-YEAR($F$189))*12),0))),0)</f>
        <v>0</v>
      </c>
      <c r="I240" s="60">
        <f t="shared" ref="I240:Q240" ca="1" si="59">IF(YEAR(I$220)-YEAR($F$189)&lt;=$M$113,IF($I$113&lt;&gt;"Amortizing",$G$113,IF(AND(YEAR(I$220)-YEAR($F$189)=$L$113,$L$113=$M$113),0,$G$113+CUMPRINC($K$113/12,$L$113*12,$G$113,1,$F$188+((YEAR(I$220)-YEAR($F$189))*12),0))),0)</f>
        <v>0</v>
      </c>
      <c r="J240" s="60">
        <f t="shared" ca="1" si="59"/>
        <v>0</v>
      </c>
      <c r="K240" s="60">
        <f t="shared" ca="1" si="59"/>
        <v>0</v>
      </c>
      <c r="L240" s="60">
        <f t="shared" ca="1" si="59"/>
        <v>0</v>
      </c>
      <c r="M240" s="60">
        <f t="shared" ca="1" si="59"/>
        <v>0</v>
      </c>
      <c r="N240" s="60">
        <f t="shared" ca="1" si="59"/>
        <v>0</v>
      </c>
      <c r="O240" s="60">
        <f t="shared" ca="1" si="59"/>
        <v>0</v>
      </c>
      <c r="P240" s="60">
        <f t="shared" ca="1" si="59"/>
        <v>0</v>
      </c>
      <c r="Q240" s="48">
        <f t="shared" ca="1" si="59"/>
        <v>0</v>
      </c>
    </row>
    <row r="241" spans="1:17" hidden="1" x14ac:dyDescent="0.25">
      <c r="A241" s="2" t="str">
        <f t="shared" si="57"/>
        <v>MH</v>
      </c>
      <c r="D241" s="45" t="str">
        <f t="shared" si="58"/>
        <v xml:space="preserve">MaineHousing - </v>
      </c>
      <c r="G241" s="60"/>
      <c r="H241" s="60">
        <f ca="1">IF(YEAR(H$220)-YEAR($F$189)&lt;=$M$114,IF($I$114&lt;&gt;"Amortizing",$G$114,IF(AND(YEAR(H$220)-YEAR($F$189)=$L$114,$L$114=$M$114),0,$G$114+CUMPRINC($K$114/12,$L$114*12,$G$114,1,$F$188+((YEAR(H$220)-YEAR($F$189))*12),0))),0)</f>
        <v>0</v>
      </c>
      <c r="I241" s="60">
        <f t="shared" ref="I241:Q241" ca="1" si="60">IF(YEAR(I$220)-YEAR($F$189)&lt;=$M$114,IF($I$114&lt;&gt;"Amortizing",$G$114,IF(AND(YEAR(I$220)-YEAR($F$189)=$L$114,$L$114=$M$114),0,$G$114+CUMPRINC($K$114/12,$L$114*12,$G$114,1,$F$188+((YEAR(I$220)-YEAR($F$189))*12),0))),0)</f>
        <v>0</v>
      </c>
      <c r="J241" s="60">
        <f t="shared" ca="1" si="60"/>
        <v>0</v>
      </c>
      <c r="K241" s="60">
        <f t="shared" ca="1" si="60"/>
        <v>0</v>
      </c>
      <c r="L241" s="60">
        <f t="shared" ca="1" si="60"/>
        <v>0</v>
      </c>
      <c r="M241" s="60">
        <f t="shared" ca="1" si="60"/>
        <v>0</v>
      </c>
      <c r="N241" s="60">
        <f t="shared" ca="1" si="60"/>
        <v>0</v>
      </c>
      <c r="O241" s="60">
        <f t="shared" ca="1" si="60"/>
        <v>0</v>
      </c>
      <c r="P241" s="60">
        <f t="shared" ca="1" si="60"/>
        <v>0</v>
      </c>
      <c r="Q241" s="48">
        <f t="shared" ca="1" si="60"/>
        <v>0</v>
      </c>
    </row>
    <row r="242" spans="1:17" hidden="1" x14ac:dyDescent="0.25">
      <c r="A242" s="2" t="str">
        <f t="shared" si="57"/>
        <v>MH</v>
      </c>
      <c r="D242" s="45" t="str">
        <f t="shared" si="58"/>
        <v xml:space="preserve">MaineHousing - </v>
      </c>
      <c r="G242" s="60"/>
      <c r="H242" s="60">
        <f ca="1">IF(YEAR(H$220)-YEAR($F$189)&lt;=$M$115,IF($I$115&lt;&gt;"Amortizing",$G$115,IF(AND(YEAR(H$220)-YEAR($F$189)=$L$115,$L$115=$M$115),0,$G$115+CUMPRINC($K$115/12,$L$115*12,$G$115,1,$F$188+((YEAR(H$220)-YEAR($F$189))*12),0))),0)</f>
        <v>0</v>
      </c>
      <c r="I242" s="60">
        <f t="shared" ref="I242:Q242" ca="1" si="61">IF(YEAR(I$220)-YEAR($F$189)&lt;=$M$115,IF($I$115&lt;&gt;"Amortizing",$G$115,IF(AND(YEAR(I$220)-YEAR($F$189)=$L$115,$L$115=$M$115),0,$G$115+CUMPRINC($K$115/12,$L$115*12,$G$115,1,$F$188+((YEAR(I$220)-YEAR($F$189))*12),0))),0)</f>
        <v>0</v>
      </c>
      <c r="J242" s="60">
        <f t="shared" ca="1" si="61"/>
        <v>0</v>
      </c>
      <c r="K242" s="60">
        <f t="shared" ca="1" si="61"/>
        <v>0</v>
      </c>
      <c r="L242" s="60">
        <f t="shared" ca="1" si="61"/>
        <v>0</v>
      </c>
      <c r="M242" s="60">
        <f t="shared" ca="1" si="61"/>
        <v>0</v>
      </c>
      <c r="N242" s="60">
        <f t="shared" ca="1" si="61"/>
        <v>0</v>
      </c>
      <c r="O242" s="60">
        <f t="shared" ca="1" si="61"/>
        <v>0</v>
      </c>
      <c r="P242" s="60">
        <f t="shared" ca="1" si="61"/>
        <v>0</v>
      </c>
      <c r="Q242" s="48">
        <f t="shared" ca="1" si="61"/>
        <v>0</v>
      </c>
    </row>
    <row r="243" spans="1:17" hidden="1" x14ac:dyDescent="0.25">
      <c r="A243" s="2" t="str">
        <f t="shared" si="57"/>
        <v>Other</v>
      </c>
      <c r="D243" s="45" t="str">
        <f t="shared" si="58"/>
        <v xml:space="preserve"> - </v>
      </c>
      <c r="G243" s="60"/>
      <c r="H243" s="60">
        <f ca="1">IF(YEAR(H$220)-YEAR($F$189)&lt;=$M$116,IF($I$116&lt;&gt;"Amortizing",$G$116,IF(AND(YEAR(H$220)-YEAR($F$189)=$L$116,$L$116=$M$116),0,$G$116+CUMPRINC($K$116/12,$L$116*12,$G$116,1,$F$188+((YEAR(H$220)-YEAR($F$189))*12),0))),0)</f>
        <v>0</v>
      </c>
      <c r="I243" s="60">
        <f t="shared" ref="I243:Q243" ca="1" si="62">IF(YEAR(I$220)-YEAR($F$189)&lt;=$M$116,IF($I$116&lt;&gt;"Amortizing",$G$116,IF(AND(YEAR(I$220)-YEAR($F$189)=$L$116,$L$116=$M$116),0,$G$116+CUMPRINC($K$116/12,$L$116*12,$G$116,1,$F$188+((YEAR(I$220)-YEAR($F$189))*12),0))),0)</f>
        <v>0</v>
      </c>
      <c r="J243" s="60">
        <f t="shared" ca="1" si="62"/>
        <v>0</v>
      </c>
      <c r="K243" s="60">
        <f t="shared" ca="1" si="62"/>
        <v>0</v>
      </c>
      <c r="L243" s="60">
        <f t="shared" ca="1" si="62"/>
        <v>0</v>
      </c>
      <c r="M243" s="60">
        <f t="shared" ca="1" si="62"/>
        <v>0</v>
      </c>
      <c r="N243" s="60">
        <f t="shared" ca="1" si="62"/>
        <v>0</v>
      </c>
      <c r="O243" s="60">
        <f t="shared" ca="1" si="62"/>
        <v>0</v>
      </c>
      <c r="P243" s="60">
        <f t="shared" ca="1" si="62"/>
        <v>0</v>
      </c>
      <c r="Q243" s="48">
        <f t="shared" ca="1" si="62"/>
        <v>0</v>
      </c>
    </row>
    <row r="244" spans="1:17" hidden="1" x14ac:dyDescent="0.25">
      <c r="A244" s="2" t="str">
        <f t="shared" si="57"/>
        <v>Other</v>
      </c>
      <c r="D244" s="45" t="str">
        <f t="shared" si="58"/>
        <v xml:space="preserve"> - </v>
      </c>
      <c r="G244" s="60"/>
      <c r="H244" s="60">
        <f ca="1">IF(YEAR(H$220)-YEAR($F$189)&lt;=$M$117,IF($I$117&lt;&gt;"Amortizing",$G$117,IF(AND(YEAR(H$220)-YEAR($F$189)=$L$117,$L$117=$M$117),0,$G$117+CUMPRINC($K$117/12,$L$117*12,$G$117,1,$F$188+((YEAR(H$220)-YEAR($F$189))*12),0))),0)</f>
        <v>0</v>
      </c>
      <c r="I244" s="60">
        <f t="shared" ref="I244:Q244" ca="1" si="63">IF(YEAR(I$220)-YEAR($F$189)&lt;=$M$117,IF($I$117&lt;&gt;"Amortizing",$G$117,IF(AND(YEAR(I$220)-YEAR($F$189)=$L$117,$L$117=$M$117),0,$G$117+CUMPRINC($K$117/12,$L$117*12,$G$117,1,$F$188+((YEAR(I$220)-YEAR($F$189))*12),0))),0)</f>
        <v>0</v>
      </c>
      <c r="J244" s="60">
        <f t="shared" ca="1" si="63"/>
        <v>0</v>
      </c>
      <c r="K244" s="60">
        <f t="shared" ca="1" si="63"/>
        <v>0</v>
      </c>
      <c r="L244" s="60">
        <f t="shared" ca="1" si="63"/>
        <v>0</v>
      </c>
      <c r="M244" s="60">
        <f t="shared" ca="1" si="63"/>
        <v>0</v>
      </c>
      <c r="N244" s="60">
        <f t="shared" ca="1" si="63"/>
        <v>0</v>
      </c>
      <c r="O244" s="60">
        <f t="shared" ca="1" si="63"/>
        <v>0</v>
      </c>
      <c r="P244" s="60">
        <f t="shared" ca="1" si="63"/>
        <v>0</v>
      </c>
      <c r="Q244" s="48">
        <f t="shared" ca="1" si="63"/>
        <v>0</v>
      </c>
    </row>
    <row r="245" spans="1:17" hidden="1" x14ac:dyDescent="0.25">
      <c r="A245" s="2" t="str">
        <f t="shared" si="57"/>
        <v>Other</v>
      </c>
      <c r="D245" s="45" t="str">
        <f t="shared" si="58"/>
        <v xml:space="preserve"> - </v>
      </c>
      <c r="G245" s="60"/>
      <c r="H245" s="60">
        <f ca="1">IF(YEAR(H$220)-YEAR($F$189)&lt;=$M$118,IF($I$118&lt;&gt;"Amortizing",$G$118,IF(AND(YEAR(H$220)-YEAR($F$189)=$L$118,$L$118=$M$118),0,$G$118+CUMPRINC($K$118/12,$L$118*12,$G$118,1,$F$188+((YEAR(H$220)-YEAR($F$189))*12),0))),0)</f>
        <v>0</v>
      </c>
      <c r="I245" s="60">
        <f t="shared" ref="I245:Q245" ca="1" si="64">IF(YEAR(I$220)-YEAR($F$189)&lt;=$M$118,IF($I$118&lt;&gt;"Amortizing",$G$118,IF(AND(YEAR(I$220)-YEAR($F$189)=$L$118,$L$118=$M$118),0,$G$118+CUMPRINC($K$118/12,$L$118*12,$G$118,1,$F$188+((YEAR(I$220)-YEAR($F$189))*12),0))),0)</f>
        <v>0</v>
      </c>
      <c r="J245" s="60">
        <f t="shared" ca="1" si="64"/>
        <v>0</v>
      </c>
      <c r="K245" s="60">
        <f t="shared" ca="1" si="64"/>
        <v>0</v>
      </c>
      <c r="L245" s="60">
        <f t="shared" ca="1" si="64"/>
        <v>0</v>
      </c>
      <c r="M245" s="60">
        <f t="shared" ca="1" si="64"/>
        <v>0</v>
      </c>
      <c r="N245" s="60">
        <f t="shared" ca="1" si="64"/>
        <v>0</v>
      </c>
      <c r="O245" s="60">
        <f t="shared" ca="1" si="64"/>
        <v>0</v>
      </c>
      <c r="P245" s="60">
        <f t="shared" ca="1" si="64"/>
        <v>0</v>
      </c>
      <c r="Q245" s="48">
        <f t="shared" ca="1" si="64"/>
        <v>0</v>
      </c>
    </row>
    <row r="246" spans="1:17" hidden="1" x14ac:dyDescent="0.25">
      <c r="A246" s="2" t="str">
        <f t="shared" si="57"/>
        <v>Other</v>
      </c>
      <c r="D246" s="45" t="str">
        <f t="shared" si="58"/>
        <v xml:space="preserve"> - </v>
      </c>
      <c r="G246" s="60"/>
      <c r="H246" s="60">
        <f ca="1">IF(YEAR(H$220)-YEAR($F$189)&lt;=$M$119,IF($I$119&lt;&gt;"Amortizing",$G$119,IF(AND(YEAR(H$220)-YEAR($F$189)=$L$119,$L$119=$M$119),0,$G$119+CUMPRINC($K$119/12,$L$119*12,$G$119,1,$F$188+((YEAR(H$220)-YEAR($F$189))*12),0))),0)</f>
        <v>0</v>
      </c>
      <c r="I246" s="60">
        <f t="shared" ref="I246:Q246" ca="1" si="65">IF(YEAR(I$220)-YEAR($F$189)&lt;=$M$119,IF($I$119&lt;&gt;"Amortizing",$G$119,IF(AND(YEAR(I$220)-YEAR($F$189)=$L$119,$L$119=$M$119),0,$G$119+CUMPRINC($K$119/12,$L$119*12,$G$119,1,$F$188+((YEAR(I$220)-YEAR($F$189))*12),0))),0)</f>
        <v>0</v>
      </c>
      <c r="J246" s="60">
        <f t="shared" ca="1" si="65"/>
        <v>0</v>
      </c>
      <c r="K246" s="60">
        <f t="shared" ca="1" si="65"/>
        <v>0</v>
      </c>
      <c r="L246" s="60">
        <f t="shared" ca="1" si="65"/>
        <v>0</v>
      </c>
      <c r="M246" s="60">
        <f t="shared" ca="1" si="65"/>
        <v>0</v>
      </c>
      <c r="N246" s="60">
        <f t="shared" ca="1" si="65"/>
        <v>0</v>
      </c>
      <c r="O246" s="60">
        <f t="shared" ca="1" si="65"/>
        <v>0</v>
      </c>
      <c r="P246" s="60">
        <f t="shared" ca="1" si="65"/>
        <v>0</v>
      </c>
      <c r="Q246" s="48">
        <f t="shared" ca="1" si="65"/>
        <v>0</v>
      </c>
    </row>
    <row r="247" spans="1:17" x14ac:dyDescent="0.25">
      <c r="D247" s="45" t="s">
        <v>269</v>
      </c>
      <c r="G247" s="60"/>
      <c r="H247" s="60">
        <f ca="1">SUMIFS(H$239:H$246,$A$239:$A$246,"MH")</f>
        <v>0</v>
      </c>
      <c r="I247" s="60">
        <f t="shared" ref="I247:Q247" ca="1" si="66">SUMIFS(I$239:I$246,$A$239:$A$246,"MH")</f>
        <v>0</v>
      </c>
      <c r="J247" s="60">
        <f t="shared" ca="1" si="66"/>
        <v>0</v>
      </c>
      <c r="K247" s="60">
        <f t="shared" ca="1" si="66"/>
        <v>0</v>
      </c>
      <c r="L247" s="60">
        <f t="shared" ca="1" si="66"/>
        <v>0</v>
      </c>
      <c r="M247" s="60">
        <f t="shared" ca="1" si="66"/>
        <v>0</v>
      </c>
      <c r="N247" s="60">
        <f t="shared" ca="1" si="66"/>
        <v>0</v>
      </c>
      <c r="O247" s="60">
        <f t="shared" ca="1" si="66"/>
        <v>0</v>
      </c>
      <c r="P247" s="60">
        <f t="shared" ca="1" si="66"/>
        <v>0</v>
      </c>
      <c r="Q247" s="48">
        <f t="shared" ca="1" si="66"/>
        <v>0</v>
      </c>
    </row>
    <row r="248" spans="1:17" x14ac:dyDescent="0.25">
      <c r="D248" s="43" t="s">
        <v>270</v>
      </c>
      <c r="E248" s="27"/>
      <c r="F248" s="27"/>
      <c r="G248" s="61"/>
      <c r="H248" s="61">
        <f t="shared" ref="H248:Q248" ca="1" si="67">SUMIFS(H$239:H$246,$A$239:$A$246,"&lt;&gt;"&amp;"MH")</f>
        <v>0</v>
      </c>
      <c r="I248" s="61">
        <f t="shared" ca="1" si="67"/>
        <v>0</v>
      </c>
      <c r="J248" s="61">
        <f t="shared" ca="1" si="67"/>
        <v>0</v>
      </c>
      <c r="K248" s="61">
        <f t="shared" ca="1" si="67"/>
        <v>0</v>
      </c>
      <c r="L248" s="61">
        <f t="shared" ca="1" si="67"/>
        <v>0</v>
      </c>
      <c r="M248" s="61">
        <f t="shared" ca="1" si="67"/>
        <v>0</v>
      </c>
      <c r="N248" s="61">
        <f t="shared" ca="1" si="67"/>
        <v>0</v>
      </c>
      <c r="O248" s="61">
        <f t="shared" ca="1" si="67"/>
        <v>0</v>
      </c>
      <c r="P248" s="61">
        <f t="shared" ca="1" si="67"/>
        <v>0</v>
      </c>
      <c r="Q248" s="65">
        <f t="shared" ca="1" si="67"/>
        <v>0</v>
      </c>
    </row>
    <row r="249" spans="1:17" hidden="1" x14ac:dyDescent="0.25"/>
    <row r="250" spans="1:17" ht="8.1" customHeight="1" x14ac:dyDescent="0.25"/>
    <row r="251" spans="1:17" x14ac:dyDescent="0.25">
      <c r="D251" s="51"/>
      <c r="E251" s="52"/>
      <c r="F251" s="119"/>
      <c r="G251" s="119"/>
      <c r="H251" s="119">
        <f ca="1">EOMONTH(Q220,12)</f>
        <v>54788</v>
      </c>
      <c r="I251" s="119">
        <f t="shared" ref="I251:Q251" ca="1" si="68">EOMONTH(H251,12)</f>
        <v>55153</v>
      </c>
      <c r="J251" s="119">
        <f t="shared" ca="1" si="68"/>
        <v>55518</v>
      </c>
      <c r="K251" s="119">
        <f t="shared" ca="1" si="68"/>
        <v>55884</v>
      </c>
      <c r="L251" s="119">
        <f t="shared" ca="1" si="68"/>
        <v>56249</v>
      </c>
      <c r="M251" s="119">
        <f t="shared" ca="1" si="68"/>
        <v>56614</v>
      </c>
      <c r="N251" s="119">
        <f t="shared" ca="1" si="68"/>
        <v>56979</v>
      </c>
      <c r="O251" s="119">
        <f t="shared" ca="1" si="68"/>
        <v>57345</v>
      </c>
      <c r="P251" s="119">
        <f t="shared" ca="1" si="68"/>
        <v>57710</v>
      </c>
      <c r="Q251" s="120">
        <f t="shared" ca="1" si="68"/>
        <v>58075</v>
      </c>
    </row>
    <row r="252" spans="1:17" x14ac:dyDescent="0.25">
      <c r="D252" s="45" t="s">
        <v>234</v>
      </c>
      <c r="G252" s="60"/>
      <c r="H252" s="60">
        <f ca="1">Q221*(1+IF(YEAR(H251)-YEAR($G$189)&lt;6,$O$7,IF(YEAR(H251)-YEAR($G$189)&lt;16,$P$7,$Q$7)))</f>
        <v>0</v>
      </c>
      <c r="I252" s="60">
        <f t="shared" ref="I252:Q252" ca="1" si="69">H252*(1+IF(YEAR(I251)-YEAR($G$189)&lt;6,$O$7,IF(YEAR(I251)-YEAR($G$189)&lt;16,$P$7,$Q$7)))</f>
        <v>0</v>
      </c>
      <c r="J252" s="60">
        <f t="shared" ca="1" si="69"/>
        <v>0</v>
      </c>
      <c r="K252" s="60">
        <f t="shared" ca="1" si="69"/>
        <v>0</v>
      </c>
      <c r="L252" s="60">
        <f t="shared" ca="1" si="69"/>
        <v>0</v>
      </c>
      <c r="M252" s="60">
        <f t="shared" ca="1" si="69"/>
        <v>0</v>
      </c>
      <c r="N252" s="60">
        <f t="shared" ca="1" si="69"/>
        <v>0</v>
      </c>
      <c r="O252" s="60">
        <f t="shared" ca="1" si="69"/>
        <v>0</v>
      </c>
      <c r="P252" s="60">
        <f t="shared" ca="1" si="69"/>
        <v>0</v>
      </c>
      <c r="Q252" s="48">
        <f t="shared" ca="1" si="69"/>
        <v>0</v>
      </c>
    </row>
    <row r="253" spans="1:17" x14ac:dyDescent="0.25">
      <c r="D253" s="45" t="s">
        <v>264</v>
      </c>
      <c r="G253" s="60"/>
      <c r="H253" s="60">
        <f ca="1">Q222*(1+IF(YEAR(H251)-YEAR($G$189)&lt;6,$O$8,IF(YEAR(H251)-YEAR($G$189)&lt;16,$P$8,$Q$8)))</f>
        <v>0</v>
      </c>
      <c r="I253" s="60">
        <f t="shared" ref="I253:Q253" ca="1" si="70">H253*(1+IF(YEAR(I251)-YEAR($G$189)&lt;6,$O$8,IF(YEAR(I251)-YEAR($G$189)&lt;16,$P$8,$Q$8)))</f>
        <v>0</v>
      </c>
      <c r="J253" s="60">
        <f t="shared" ca="1" si="70"/>
        <v>0</v>
      </c>
      <c r="K253" s="60">
        <f t="shared" ca="1" si="70"/>
        <v>0</v>
      </c>
      <c r="L253" s="60">
        <f t="shared" ca="1" si="70"/>
        <v>0</v>
      </c>
      <c r="M253" s="60">
        <f t="shared" ca="1" si="70"/>
        <v>0</v>
      </c>
      <c r="N253" s="60">
        <f t="shared" ca="1" si="70"/>
        <v>0</v>
      </c>
      <c r="O253" s="60">
        <f t="shared" ca="1" si="70"/>
        <v>0</v>
      </c>
      <c r="P253" s="60">
        <f t="shared" ca="1" si="70"/>
        <v>0</v>
      </c>
      <c r="Q253" s="48">
        <f t="shared" ca="1" si="70"/>
        <v>0</v>
      </c>
    </row>
    <row r="254" spans="1:17" x14ac:dyDescent="0.25">
      <c r="D254" s="45" t="s">
        <v>265</v>
      </c>
      <c r="G254" s="60"/>
      <c r="H254" s="60">
        <f t="shared" ref="H254:Q254" ca="1" si="71">H252-H253</f>
        <v>0</v>
      </c>
      <c r="I254" s="60">
        <f t="shared" ca="1" si="71"/>
        <v>0</v>
      </c>
      <c r="J254" s="60">
        <f t="shared" ca="1" si="71"/>
        <v>0</v>
      </c>
      <c r="K254" s="60">
        <f t="shared" ca="1" si="71"/>
        <v>0</v>
      </c>
      <c r="L254" s="60">
        <f t="shared" ca="1" si="71"/>
        <v>0</v>
      </c>
      <c r="M254" s="60">
        <f t="shared" ca="1" si="71"/>
        <v>0</v>
      </c>
      <c r="N254" s="60">
        <f t="shared" ca="1" si="71"/>
        <v>0</v>
      </c>
      <c r="O254" s="60">
        <f t="shared" ca="1" si="71"/>
        <v>0</v>
      </c>
      <c r="P254" s="60">
        <f t="shared" ca="1" si="71"/>
        <v>0</v>
      </c>
      <c r="Q254" s="48">
        <f t="shared" ca="1" si="71"/>
        <v>0</v>
      </c>
    </row>
    <row r="255" spans="1:17" ht="9.9499999999999993" customHeight="1" x14ac:dyDescent="0.25">
      <c r="D255" s="45"/>
      <c r="G255" s="60"/>
      <c r="H255" s="60"/>
      <c r="I255" s="60"/>
      <c r="J255" s="60"/>
      <c r="K255" s="60"/>
      <c r="L255" s="60"/>
      <c r="M255" s="60"/>
      <c r="N255" s="60"/>
      <c r="O255" s="60"/>
      <c r="P255" s="60"/>
      <c r="Q255" s="48"/>
    </row>
    <row r="256" spans="1:17" x14ac:dyDescent="0.25">
      <c r="D256" s="45" t="s">
        <v>147</v>
      </c>
      <c r="G256" s="60"/>
      <c r="H256" s="60">
        <f ca="1">Q225*(1+IF(YEAR(H251)-YEAR($G$189)&lt;6,$O$8,IF(YEAR(H251)-YEAR($G$189)&lt;16,$P$8,$Q$8)))</f>
        <v>0</v>
      </c>
      <c r="I256" s="60">
        <f t="shared" ref="I256:Q256" ca="1" si="72">H256*(1+IF(YEAR(I251)-YEAR($G$189)&lt;6,$O$8,IF(YEAR(I251)-YEAR($G$189)&lt;16,$P$8,$Q$8)))</f>
        <v>0</v>
      </c>
      <c r="J256" s="60">
        <f t="shared" ca="1" si="72"/>
        <v>0</v>
      </c>
      <c r="K256" s="60">
        <f t="shared" ca="1" si="72"/>
        <v>0</v>
      </c>
      <c r="L256" s="60">
        <f t="shared" ca="1" si="72"/>
        <v>0</v>
      </c>
      <c r="M256" s="60">
        <f t="shared" ca="1" si="72"/>
        <v>0</v>
      </c>
      <c r="N256" s="60">
        <f t="shared" ca="1" si="72"/>
        <v>0</v>
      </c>
      <c r="O256" s="60">
        <f t="shared" ca="1" si="72"/>
        <v>0</v>
      </c>
      <c r="P256" s="60">
        <f t="shared" ca="1" si="72"/>
        <v>0</v>
      </c>
      <c r="Q256" s="48">
        <f t="shared" ca="1" si="72"/>
        <v>0</v>
      </c>
    </row>
    <row r="257" spans="1:17" x14ac:dyDescent="0.25">
      <c r="D257" s="45" t="s">
        <v>274</v>
      </c>
      <c r="G257" s="60"/>
      <c r="H257" s="60">
        <f ca="1">Q226*(1+IF(YEAR(H251)-YEAR($G$189)&lt;6,$O$8,IF(YEAR(H251)-YEAR($G$189)&lt;16,$P$8,$Q$8)))</f>
        <v>0</v>
      </c>
      <c r="I257" s="60">
        <f t="shared" ref="I257:Q257" ca="1" si="73">H257*(1+IF(YEAR(I251)-YEAR($G$189)&lt;6,$O$8,IF(YEAR(I251)-YEAR($G$189)&lt;16,$P$8,$Q$8)))</f>
        <v>0</v>
      </c>
      <c r="J257" s="60">
        <f t="shared" ca="1" si="73"/>
        <v>0</v>
      </c>
      <c r="K257" s="60">
        <f t="shared" ca="1" si="73"/>
        <v>0</v>
      </c>
      <c r="L257" s="60">
        <f t="shared" ca="1" si="73"/>
        <v>0</v>
      </c>
      <c r="M257" s="60">
        <f t="shared" ca="1" si="73"/>
        <v>0</v>
      </c>
      <c r="N257" s="60">
        <f t="shared" ca="1" si="73"/>
        <v>0</v>
      </c>
      <c r="O257" s="60">
        <f t="shared" ca="1" si="73"/>
        <v>0</v>
      </c>
      <c r="P257" s="60">
        <f t="shared" ca="1" si="73"/>
        <v>0</v>
      </c>
      <c r="Q257" s="48">
        <f t="shared" ca="1" si="73"/>
        <v>0</v>
      </c>
    </row>
    <row r="258" spans="1:17" x14ac:dyDescent="0.25">
      <c r="D258" s="45" t="s">
        <v>275</v>
      </c>
      <c r="G258" s="60"/>
      <c r="H258" s="60">
        <f t="shared" ref="H258:Q258" ca="1" si="74">H257-H256</f>
        <v>0</v>
      </c>
      <c r="I258" s="60">
        <f t="shared" ca="1" si="74"/>
        <v>0</v>
      </c>
      <c r="J258" s="60">
        <f t="shared" ca="1" si="74"/>
        <v>0</v>
      </c>
      <c r="K258" s="60">
        <f t="shared" ca="1" si="74"/>
        <v>0</v>
      </c>
      <c r="L258" s="60">
        <f t="shared" ca="1" si="74"/>
        <v>0</v>
      </c>
      <c r="M258" s="60">
        <f t="shared" ca="1" si="74"/>
        <v>0</v>
      </c>
      <c r="N258" s="60">
        <f t="shared" ca="1" si="74"/>
        <v>0</v>
      </c>
      <c r="O258" s="60">
        <f t="shared" ca="1" si="74"/>
        <v>0</v>
      </c>
      <c r="P258" s="60">
        <f t="shared" ca="1" si="74"/>
        <v>0</v>
      </c>
      <c r="Q258" s="48">
        <f t="shared" ca="1" si="74"/>
        <v>0</v>
      </c>
    </row>
    <row r="259" spans="1:17" ht="9.9499999999999993" customHeight="1" x14ac:dyDescent="0.25">
      <c r="D259" s="45"/>
      <c r="G259" s="60"/>
      <c r="H259" s="60"/>
      <c r="I259" s="60"/>
      <c r="J259" s="60"/>
      <c r="K259" s="60"/>
      <c r="L259" s="60"/>
      <c r="M259" s="60"/>
      <c r="N259" s="60"/>
      <c r="O259" s="60"/>
      <c r="P259" s="60"/>
      <c r="Q259" s="48"/>
    </row>
    <row r="260" spans="1:17" x14ac:dyDescent="0.25">
      <c r="D260" s="45" t="s">
        <v>276</v>
      </c>
      <c r="G260" s="60"/>
      <c r="H260" s="60">
        <f ca="1">H254-H258</f>
        <v>0</v>
      </c>
      <c r="I260" s="60">
        <f t="shared" ref="I260:Q260" ca="1" si="75">I254-I258</f>
        <v>0</v>
      </c>
      <c r="J260" s="60">
        <f t="shared" ca="1" si="75"/>
        <v>0</v>
      </c>
      <c r="K260" s="60">
        <f t="shared" ca="1" si="75"/>
        <v>0</v>
      </c>
      <c r="L260" s="60">
        <f t="shared" ca="1" si="75"/>
        <v>0</v>
      </c>
      <c r="M260" s="60">
        <f t="shared" ca="1" si="75"/>
        <v>0</v>
      </c>
      <c r="N260" s="60">
        <f t="shared" ca="1" si="75"/>
        <v>0</v>
      </c>
      <c r="O260" s="60">
        <f t="shared" ca="1" si="75"/>
        <v>0</v>
      </c>
      <c r="P260" s="60">
        <f t="shared" ca="1" si="75"/>
        <v>0</v>
      </c>
      <c r="Q260" s="48">
        <f t="shared" ca="1" si="75"/>
        <v>0</v>
      </c>
    </row>
    <row r="261" spans="1:17" ht="9.9499999999999993" customHeight="1" x14ac:dyDescent="0.25">
      <c r="D261" s="45"/>
      <c r="G261" s="60"/>
      <c r="H261" s="60"/>
      <c r="I261" s="60"/>
      <c r="J261" s="60"/>
      <c r="K261" s="60"/>
      <c r="L261" s="60"/>
      <c r="M261" s="60"/>
      <c r="N261" s="60"/>
      <c r="O261" s="60"/>
      <c r="P261" s="60"/>
      <c r="Q261" s="48"/>
    </row>
    <row r="262" spans="1:17" x14ac:dyDescent="0.25">
      <c r="D262" s="45" t="s">
        <v>266</v>
      </c>
      <c r="G262" s="60"/>
      <c r="H262" s="60">
        <f ca="1">SUMIFS(IF(YEAR(H251)-YEAR($G$189)&lt;6,$O$112:$O$119,IF(YEAR(H251)-YEAR($G$189)&lt;16,$P$112:$P$119,$Q$112:$Q$119)),$A$112:$A$119,"MH",$M$112:$M$119,"&gt;="&amp;YEAR(H251)-YEAR($G$189))</f>
        <v>0</v>
      </c>
      <c r="I262" s="60">
        <f t="shared" ref="I262:Q262" ca="1" si="76">SUMIFS(IF(YEAR(I251)-YEAR($G$189)&lt;6,$O$112:$O$119,IF(YEAR(I251)-YEAR($G$189)&lt;16,$P$112:$P$119,$Q$112:$Q$119)),$A$112:$A$119,"MH",$M$112:$M$119,"&gt;="&amp;YEAR(I251)-YEAR($G$189))</f>
        <v>0</v>
      </c>
      <c r="J262" s="60">
        <f t="shared" ca="1" si="76"/>
        <v>0</v>
      </c>
      <c r="K262" s="60">
        <f t="shared" ca="1" si="76"/>
        <v>0</v>
      </c>
      <c r="L262" s="60">
        <f t="shared" ca="1" si="76"/>
        <v>0</v>
      </c>
      <c r="M262" s="60">
        <f t="shared" ca="1" si="76"/>
        <v>0</v>
      </c>
      <c r="N262" s="60">
        <f t="shared" ca="1" si="76"/>
        <v>0</v>
      </c>
      <c r="O262" s="60">
        <f t="shared" ca="1" si="76"/>
        <v>0</v>
      </c>
      <c r="P262" s="60">
        <f t="shared" ca="1" si="76"/>
        <v>0</v>
      </c>
      <c r="Q262" s="48">
        <f t="shared" ca="1" si="76"/>
        <v>0</v>
      </c>
    </row>
    <row r="263" spans="1:17" x14ac:dyDescent="0.25">
      <c r="D263" s="45" t="s">
        <v>267</v>
      </c>
      <c r="G263" s="60"/>
      <c r="H263" s="60">
        <f ca="1">SUMIFS(IF(YEAR(H251)-YEAR($G$189)&lt;6,$O$112:$O$119,IF(YEAR(H251)-YEAR($G$189)&lt;16,$P$112:$P$119,$Q$112:$Q$119)),$A$112:$A$119,"&lt;&gt;" &amp;"MH",$M$112:$M$119,"&gt;="&amp;YEAR(H251)-YEAR($G$189))</f>
        <v>0</v>
      </c>
      <c r="I263" s="60">
        <f t="shared" ref="I263:Q263" ca="1" si="77">SUMIFS(IF(YEAR(I251)-YEAR($G$189)&lt;6,$O$112:$O$119,IF(YEAR(I251)-YEAR($G$189)&lt;16,$P$112:$P$119,$Q$112:$Q$119)),$A$112:$A$119,"&lt;&gt;" &amp;"MH",$M$112:$M$119,"&gt;="&amp;YEAR(I251)-YEAR($G$189))</f>
        <v>0</v>
      </c>
      <c r="J263" s="60">
        <f t="shared" ca="1" si="77"/>
        <v>0</v>
      </c>
      <c r="K263" s="60">
        <f t="shared" ca="1" si="77"/>
        <v>0</v>
      </c>
      <c r="L263" s="60">
        <f t="shared" ca="1" si="77"/>
        <v>0</v>
      </c>
      <c r="M263" s="60">
        <f t="shared" ca="1" si="77"/>
        <v>0</v>
      </c>
      <c r="N263" s="60">
        <f t="shared" ca="1" si="77"/>
        <v>0</v>
      </c>
      <c r="O263" s="60">
        <f t="shared" ca="1" si="77"/>
        <v>0</v>
      </c>
      <c r="P263" s="60">
        <f t="shared" ca="1" si="77"/>
        <v>0</v>
      </c>
      <c r="Q263" s="48">
        <f t="shared" ca="1" si="77"/>
        <v>0</v>
      </c>
    </row>
    <row r="264" spans="1:17" ht="9.9499999999999993" customHeight="1" x14ac:dyDescent="0.25">
      <c r="D264" s="45"/>
      <c r="G264" s="60"/>
      <c r="H264" s="60"/>
      <c r="I264" s="60"/>
      <c r="J264" s="60"/>
      <c r="K264" s="60"/>
      <c r="L264" s="60"/>
      <c r="M264" s="60"/>
      <c r="N264" s="60"/>
      <c r="O264" s="60"/>
      <c r="P264" s="60"/>
      <c r="Q264" s="48"/>
    </row>
    <row r="265" spans="1:17" x14ac:dyDescent="0.25">
      <c r="D265" s="45" t="s">
        <v>268</v>
      </c>
      <c r="G265" s="60"/>
      <c r="H265" s="60">
        <f ca="1">H260-SUM(H262:H263)</f>
        <v>0</v>
      </c>
      <c r="I265" s="60">
        <f t="shared" ref="I265:Q265" ca="1" si="78">I260-SUM(I262:I263)</f>
        <v>0</v>
      </c>
      <c r="J265" s="60">
        <f t="shared" ca="1" si="78"/>
        <v>0</v>
      </c>
      <c r="K265" s="60">
        <f t="shared" ca="1" si="78"/>
        <v>0</v>
      </c>
      <c r="L265" s="60">
        <f t="shared" ca="1" si="78"/>
        <v>0</v>
      </c>
      <c r="M265" s="60">
        <f t="shared" ca="1" si="78"/>
        <v>0</v>
      </c>
      <c r="N265" s="60">
        <f t="shared" ca="1" si="78"/>
        <v>0</v>
      </c>
      <c r="O265" s="60">
        <f t="shared" ca="1" si="78"/>
        <v>0</v>
      </c>
      <c r="P265" s="60">
        <f t="shared" ca="1" si="78"/>
        <v>0</v>
      </c>
      <c r="Q265" s="48">
        <f t="shared" ca="1" si="78"/>
        <v>0</v>
      </c>
    </row>
    <row r="266" spans="1:17" x14ac:dyDescent="0.25">
      <c r="D266" s="45" t="s">
        <v>271</v>
      </c>
      <c r="G266" s="60"/>
      <c r="H266" s="60">
        <f t="shared" ref="H266:Q266" si="79">IF(OR($F$166="-",$F$166=0),0,H265/$F$166)</f>
        <v>0</v>
      </c>
      <c r="I266" s="60">
        <f t="shared" si="79"/>
        <v>0</v>
      </c>
      <c r="J266" s="60">
        <f t="shared" si="79"/>
        <v>0</v>
      </c>
      <c r="K266" s="60">
        <f t="shared" si="79"/>
        <v>0</v>
      </c>
      <c r="L266" s="60">
        <f t="shared" si="79"/>
        <v>0</v>
      </c>
      <c r="M266" s="60">
        <f t="shared" si="79"/>
        <v>0</v>
      </c>
      <c r="N266" s="60">
        <f t="shared" si="79"/>
        <v>0</v>
      </c>
      <c r="O266" s="60">
        <f t="shared" si="79"/>
        <v>0</v>
      </c>
      <c r="P266" s="60">
        <f t="shared" si="79"/>
        <v>0</v>
      </c>
      <c r="Q266" s="48">
        <f t="shared" si="79"/>
        <v>0</v>
      </c>
    </row>
    <row r="267" spans="1:17" ht="9.9499999999999993" customHeight="1" x14ac:dyDescent="0.25">
      <c r="D267" s="45"/>
      <c r="G267" s="60"/>
      <c r="H267" s="60"/>
      <c r="I267" s="60"/>
      <c r="J267" s="60"/>
      <c r="K267" s="60"/>
      <c r="L267" s="60"/>
      <c r="M267" s="60"/>
      <c r="N267" s="60"/>
      <c r="O267" s="60"/>
      <c r="P267" s="60"/>
      <c r="Q267" s="48"/>
    </row>
    <row r="268" spans="1:17" x14ac:dyDescent="0.25">
      <c r="D268" s="45" t="s">
        <v>180</v>
      </c>
      <c r="G268" s="60"/>
      <c r="H268" s="14">
        <f ca="1">IF(SUM(H262:H263)=0,0,H260/SUM(H262:H263))</f>
        <v>0</v>
      </c>
      <c r="I268" s="14">
        <f t="shared" ref="I268:Q268" ca="1" si="80">IF(SUM(I262:I263)=0,0,I260/SUM(I262:I263))</f>
        <v>0</v>
      </c>
      <c r="J268" s="14">
        <f t="shared" ca="1" si="80"/>
        <v>0</v>
      </c>
      <c r="K268" s="14">
        <f t="shared" ca="1" si="80"/>
        <v>0</v>
      </c>
      <c r="L268" s="14">
        <f t="shared" ca="1" si="80"/>
        <v>0</v>
      </c>
      <c r="M268" s="14">
        <f t="shared" ca="1" si="80"/>
        <v>0</v>
      </c>
      <c r="N268" s="14">
        <f t="shared" ca="1" si="80"/>
        <v>0</v>
      </c>
      <c r="O268" s="14">
        <f t="shared" ca="1" si="80"/>
        <v>0</v>
      </c>
      <c r="P268" s="14">
        <f t="shared" ca="1" si="80"/>
        <v>0</v>
      </c>
      <c r="Q268" s="136">
        <f t="shared" ca="1" si="80"/>
        <v>0</v>
      </c>
    </row>
    <row r="269" spans="1:17" ht="9.9499999999999993" customHeight="1" x14ac:dyDescent="0.25">
      <c r="D269" s="45"/>
      <c r="G269" s="60"/>
      <c r="H269" s="60"/>
      <c r="I269" s="60"/>
      <c r="J269" s="60"/>
      <c r="K269" s="60"/>
      <c r="L269" s="60"/>
      <c r="M269" s="60"/>
      <c r="N269" s="60"/>
      <c r="O269" s="60"/>
      <c r="P269" s="60"/>
      <c r="Q269" s="48"/>
    </row>
    <row r="270" spans="1:17" hidden="1" x14ac:dyDescent="0.25">
      <c r="A270" s="2" t="str">
        <f>A239</f>
        <v>MH</v>
      </c>
      <c r="D270" s="45" t="str">
        <f>D239</f>
        <v xml:space="preserve">MaineHousing - </v>
      </c>
      <c r="G270" s="60"/>
      <c r="H270" s="60">
        <f ca="1">IF(YEAR(H$251)-YEAR($F$189)&lt;=$M$112,IF($I$112&lt;&gt;"Amortizing",$G$112,IF(AND(YEAR(H$251)-YEAR($F$189)=$L$112,$L$112=$M$112),0,$G$112+CUMPRINC($K$112/12,$L$112*12,$G$112,1,$F$188+((YEAR(H$251)-YEAR($F$189))*12),0))),0)</f>
        <v>0</v>
      </c>
      <c r="I270" s="60">
        <f t="shared" ref="I270:Q270" ca="1" si="81">IF(YEAR(I$251)-YEAR($F$189)&lt;=$M$112,IF($I$112&lt;&gt;"Amortizing",$G$112,IF(AND(YEAR(I$251)-YEAR($F$189)=$L$112,$L$112=$M$112),0,$G$112+CUMPRINC($K$112/12,$L$112*12,$G$112,1,$F$188+((YEAR(I$251)-YEAR($F$189))*12),0))),0)</f>
        <v>0</v>
      </c>
      <c r="J270" s="60">
        <f t="shared" ca="1" si="81"/>
        <v>0</v>
      </c>
      <c r="K270" s="60">
        <f t="shared" ca="1" si="81"/>
        <v>0</v>
      </c>
      <c r="L270" s="60">
        <f t="shared" ca="1" si="81"/>
        <v>0</v>
      </c>
      <c r="M270" s="60">
        <f t="shared" ca="1" si="81"/>
        <v>0</v>
      </c>
      <c r="N270" s="60">
        <f t="shared" ca="1" si="81"/>
        <v>0</v>
      </c>
      <c r="O270" s="60">
        <f t="shared" ca="1" si="81"/>
        <v>0</v>
      </c>
      <c r="P270" s="60">
        <f t="shared" ca="1" si="81"/>
        <v>0</v>
      </c>
      <c r="Q270" s="48">
        <f t="shared" ca="1" si="81"/>
        <v>0</v>
      </c>
    </row>
    <row r="271" spans="1:17" hidden="1" x14ac:dyDescent="0.25">
      <c r="A271" s="2" t="str">
        <f t="shared" ref="A271:A277" si="82">A240</f>
        <v>MH</v>
      </c>
      <c r="D271" s="45" t="str">
        <f t="shared" ref="D271:D277" si="83">D240</f>
        <v xml:space="preserve">MaineHousing - </v>
      </c>
      <c r="G271" s="60"/>
      <c r="H271" s="60">
        <f ca="1">IF(YEAR(H$251)-YEAR($F$189)&lt;=$M$113,IF($I$113&lt;&gt;"Amortizing",$G$113,IF(AND(YEAR(H$251)-YEAR($F$189)=$L$113,$L$113=$M$113),0,$G$113+CUMPRINC($K$113/12,$L$113*12,$G$113,1,$F$188+((YEAR(H$251)-YEAR($F$189))*12),0))),0)</f>
        <v>0</v>
      </c>
      <c r="I271" s="60">
        <f t="shared" ref="I271:Q271" ca="1" si="84">IF(YEAR(I$251)-YEAR($F$189)&lt;=$M$113,IF($I$113&lt;&gt;"Amortizing",$G$113,IF(AND(YEAR(I$251)-YEAR($F$189)=$L$113,$L$113=$M$113),0,$G$113+CUMPRINC($K$113/12,$L$113*12,$G$113,1,$F$188+((YEAR(I$251)-YEAR($F$189))*12),0))),0)</f>
        <v>0</v>
      </c>
      <c r="J271" s="60">
        <f t="shared" ca="1" si="84"/>
        <v>0</v>
      </c>
      <c r="K271" s="60">
        <f t="shared" ca="1" si="84"/>
        <v>0</v>
      </c>
      <c r="L271" s="60">
        <f t="shared" ca="1" si="84"/>
        <v>0</v>
      </c>
      <c r="M271" s="60">
        <f t="shared" ca="1" si="84"/>
        <v>0</v>
      </c>
      <c r="N271" s="60">
        <f t="shared" ca="1" si="84"/>
        <v>0</v>
      </c>
      <c r="O271" s="60">
        <f t="shared" ca="1" si="84"/>
        <v>0</v>
      </c>
      <c r="P271" s="60">
        <f t="shared" ca="1" si="84"/>
        <v>0</v>
      </c>
      <c r="Q271" s="48">
        <f t="shared" ca="1" si="84"/>
        <v>0</v>
      </c>
    </row>
    <row r="272" spans="1:17" hidden="1" x14ac:dyDescent="0.25">
      <c r="A272" s="2" t="str">
        <f t="shared" si="82"/>
        <v>MH</v>
      </c>
      <c r="D272" s="45" t="str">
        <f t="shared" si="83"/>
        <v xml:space="preserve">MaineHousing - </v>
      </c>
      <c r="G272" s="60"/>
      <c r="H272" s="60">
        <f t="shared" ref="H272:Q272" ca="1" si="85">IF(YEAR(H$251)-YEAR($F$189)&lt;=$M$114,IF($I$114&lt;&gt;"Amortizing",$G$114,IF(AND(YEAR(H$251)-YEAR($F$189)=$L$114,$L$114=$M$114),0,$G$114+CUMPRINC($K$114/12,$L$114*12,$G$114,1,$F$188+((YEAR(H$251)-YEAR($F$189))*12),0))),0)</f>
        <v>0</v>
      </c>
      <c r="I272" s="60">
        <f t="shared" ca="1" si="85"/>
        <v>0</v>
      </c>
      <c r="J272" s="60">
        <f t="shared" ca="1" si="85"/>
        <v>0</v>
      </c>
      <c r="K272" s="60">
        <f t="shared" ca="1" si="85"/>
        <v>0</v>
      </c>
      <c r="L272" s="60">
        <f t="shared" ca="1" si="85"/>
        <v>0</v>
      </c>
      <c r="M272" s="60">
        <f t="shared" ca="1" si="85"/>
        <v>0</v>
      </c>
      <c r="N272" s="60">
        <f t="shared" ca="1" si="85"/>
        <v>0</v>
      </c>
      <c r="O272" s="60">
        <f t="shared" ca="1" si="85"/>
        <v>0</v>
      </c>
      <c r="P272" s="60">
        <f t="shared" ca="1" si="85"/>
        <v>0</v>
      </c>
      <c r="Q272" s="48">
        <f t="shared" ca="1" si="85"/>
        <v>0</v>
      </c>
    </row>
    <row r="273" spans="1:17" hidden="1" x14ac:dyDescent="0.25">
      <c r="A273" s="2" t="str">
        <f t="shared" si="82"/>
        <v>MH</v>
      </c>
      <c r="D273" s="45" t="str">
        <f t="shared" si="83"/>
        <v xml:space="preserve">MaineHousing - </v>
      </c>
      <c r="G273" s="60"/>
      <c r="H273" s="60">
        <f t="shared" ref="H273:Q273" ca="1" si="86">IF(YEAR(H$251)-YEAR($F$189)&lt;=$M$115,IF($I$115&lt;&gt;"Amortizing",$G$115,IF(AND(YEAR(H$251)-YEAR($F$189)=$L$115,$L$115=$M$115),0,$G$115+CUMPRINC($K$115/12,$L$115*12,$G$115,1,$F$188+((YEAR(H$251)-YEAR($F$189))*12),0))),0)</f>
        <v>0</v>
      </c>
      <c r="I273" s="60">
        <f t="shared" ca="1" si="86"/>
        <v>0</v>
      </c>
      <c r="J273" s="60">
        <f t="shared" ca="1" si="86"/>
        <v>0</v>
      </c>
      <c r="K273" s="60">
        <f t="shared" ca="1" si="86"/>
        <v>0</v>
      </c>
      <c r="L273" s="60">
        <f t="shared" ca="1" si="86"/>
        <v>0</v>
      </c>
      <c r="M273" s="60">
        <f t="shared" ca="1" si="86"/>
        <v>0</v>
      </c>
      <c r="N273" s="60">
        <f t="shared" ca="1" si="86"/>
        <v>0</v>
      </c>
      <c r="O273" s="60">
        <f t="shared" ca="1" si="86"/>
        <v>0</v>
      </c>
      <c r="P273" s="60">
        <f t="shared" ca="1" si="86"/>
        <v>0</v>
      </c>
      <c r="Q273" s="48">
        <f t="shared" ca="1" si="86"/>
        <v>0</v>
      </c>
    </row>
    <row r="274" spans="1:17" hidden="1" x14ac:dyDescent="0.25">
      <c r="A274" s="2" t="str">
        <f t="shared" si="82"/>
        <v>Other</v>
      </c>
      <c r="D274" s="45" t="str">
        <f t="shared" si="83"/>
        <v xml:space="preserve"> - </v>
      </c>
      <c r="G274" s="60"/>
      <c r="H274" s="60">
        <f t="shared" ref="H274:Q274" ca="1" si="87">IF(YEAR(H$251)-YEAR($F$189)&lt;=$M$116,IF($I$116&lt;&gt;"Amortizing",$G$116,IF(AND(YEAR(H$251)-YEAR($F$189)=$L$116,$L$116=$M$116),0,$G$116+CUMPRINC($K$116/12,$L$116*12,$G$116,1,$F$188+((YEAR(H$251)-YEAR($F$189))*12),0))),0)</f>
        <v>0</v>
      </c>
      <c r="I274" s="60">
        <f t="shared" ca="1" si="87"/>
        <v>0</v>
      </c>
      <c r="J274" s="60">
        <f t="shared" ca="1" si="87"/>
        <v>0</v>
      </c>
      <c r="K274" s="60">
        <f t="shared" ca="1" si="87"/>
        <v>0</v>
      </c>
      <c r="L274" s="60">
        <f t="shared" ca="1" si="87"/>
        <v>0</v>
      </c>
      <c r="M274" s="60">
        <f t="shared" ca="1" si="87"/>
        <v>0</v>
      </c>
      <c r="N274" s="60">
        <f t="shared" ca="1" si="87"/>
        <v>0</v>
      </c>
      <c r="O274" s="60">
        <f t="shared" ca="1" si="87"/>
        <v>0</v>
      </c>
      <c r="P274" s="60">
        <f t="shared" ca="1" si="87"/>
        <v>0</v>
      </c>
      <c r="Q274" s="48">
        <f t="shared" ca="1" si="87"/>
        <v>0</v>
      </c>
    </row>
    <row r="275" spans="1:17" hidden="1" x14ac:dyDescent="0.25">
      <c r="A275" s="2" t="str">
        <f t="shared" si="82"/>
        <v>Other</v>
      </c>
      <c r="D275" s="45" t="str">
        <f t="shared" si="83"/>
        <v xml:space="preserve"> - </v>
      </c>
      <c r="G275" s="60"/>
      <c r="H275" s="60">
        <f t="shared" ref="H275:Q275" ca="1" si="88">IF(YEAR(H$251)-YEAR($F$189)&lt;=$M$117,IF($I$117&lt;&gt;"Amortizing",$G$117,IF(AND(YEAR(H$251)-YEAR($F$189)=$L$117,$L$117=$M$117),0,$G$117+CUMPRINC($K$117/12,$L$117*12,$G$117,1,$F$188+((YEAR(H$251)-YEAR($F$189))*12),0))),0)</f>
        <v>0</v>
      </c>
      <c r="I275" s="60">
        <f t="shared" ca="1" si="88"/>
        <v>0</v>
      </c>
      <c r="J275" s="60">
        <f t="shared" ca="1" si="88"/>
        <v>0</v>
      </c>
      <c r="K275" s="60">
        <f t="shared" ca="1" si="88"/>
        <v>0</v>
      </c>
      <c r="L275" s="60">
        <f t="shared" ca="1" si="88"/>
        <v>0</v>
      </c>
      <c r="M275" s="60">
        <f t="shared" ca="1" si="88"/>
        <v>0</v>
      </c>
      <c r="N275" s="60">
        <f t="shared" ca="1" si="88"/>
        <v>0</v>
      </c>
      <c r="O275" s="60">
        <f t="shared" ca="1" si="88"/>
        <v>0</v>
      </c>
      <c r="P275" s="60">
        <f t="shared" ca="1" si="88"/>
        <v>0</v>
      </c>
      <c r="Q275" s="48">
        <f t="shared" ca="1" si="88"/>
        <v>0</v>
      </c>
    </row>
    <row r="276" spans="1:17" hidden="1" x14ac:dyDescent="0.25">
      <c r="A276" s="2" t="str">
        <f t="shared" si="82"/>
        <v>Other</v>
      </c>
      <c r="D276" s="45" t="str">
        <f t="shared" si="83"/>
        <v xml:space="preserve"> - </v>
      </c>
      <c r="G276" s="60"/>
      <c r="H276" s="60">
        <f t="shared" ref="H276:Q276" ca="1" si="89">IF(YEAR(H$251)-YEAR($F$189)&lt;=$M$118,IF($I$118&lt;&gt;"Amortizing",$G$118,IF(AND(YEAR(H$251)-YEAR($F$189)=$L$118,$L$118=$M$118),0,$G$118+CUMPRINC($K$118/12,$L$118*12,$G$118,1,$F$188+((YEAR(H$251)-YEAR($F$189))*12),0))),0)</f>
        <v>0</v>
      </c>
      <c r="I276" s="60">
        <f t="shared" ca="1" si="89"/>
        <v>0</v>
      </c>
      <c r="J276" s="60">
        <f t="shared" ca="1" si="89"/>
        <v>0</v>
      </c>
      <c r="K276" s="60">
        <f t="shared" ca="1" si="89"/>
        <v>0</v>
      </c>
      <c r="L276" s="60">
        <f t="shared" ca="1" si="89"/>
        <v>0</v>
      </c>
      <c r="M276" s="60">
        <f t="shared" ca="1" si="89"/>
        <v>0</v>
      </c>
      <c r="N276" s="60">
        <f t="shared" ca="1" si="89"/>
        <v>0</v>
      </c>
      <c r="O276" s="60">
        <f t="shared" ca="1" si="89"/>
        <v>0</v>
      </c>
      <c r="P276" s="60">
        <f t="shared" ca="1" si="89"/>
        <v>0</v>
      </c>
      <c r="Q276" s="48">
        <f t="shared" ca="1" si="89"/>
        <v>0</v>
      </c>
    </row>
    <row r="277" spans="1:17" hidden="1" x14ac:dyDescent="0.25">
      <c r="A277" s="2" t="str">
        <f t="shared" si="82"/>
        <v>Other</v>
      </c>
      <c r="D277" s="45" t="str">
        <f t="shared" si="83"/>
        <v xml:space="preserve"> - </v>
      </c>
      <c r="G277" s="60"/>
      <c r="H277" s="60">
        <f t="shared" ref="H277:Q277" ca="1" si="90">IF(YEAR(H$251)-YEAR($F$189)&lt;=$M$119,IF($I$119&lt;&gt;"Amortizing",$G$119,IF(AND(YEAR(H$251)-YEAR($F$189)=$L$119,$L$119=$M$119),0,$G$119+CUMPRINC($K$119/12,$L$119*12,$G$119,1,$F$188+((YEAR(H$251)-YEAR($F$189))*12),0))),0)</f>
        <v>0</v>
      </c>
      <c r="I277" s="60">
        <f t="shared" ca="1" si="90"/>
        <v>0</v>
      </c>
      <c r="J277" s="60">
        <f t="shared" ca="1" si="90"/>
        <v>0</v>
      </c>
      <c r="K277" s="60">
        <f t="shared" ca="1" si="90"/>
        <v>0</v>
      </c>
      <c r="L277" s="60">
        <f t="shared" ca="1" si="90"/>
        <v>0</v>
      </c>
      <c r="M277" s="60">
        <f t="shared" ca="1" si="90"/>
        <v>0</v>
      </c>
      <c r="N277" s="60">
        <f t="shared" ca="1" si="90"/>
        <v>0</v>
      </c>
      <c r="O277" s="60">
        <f t="shared" ca="1" si="90"/>
        <v>0</v>
      </c>
      <c r="P277" s="60">
        <f t="shared" ca="1" si="90"/>
        <v>0</v>
      </c>
      <c r="Q277" s="48">
        <f t="shared" ca="1" si="90"/>
        <v>0</v>
      </c>
    </row>
    <row r="278" spans="1:17" x14ac:dyDescent="0.25">
      <c r="D278" s="45" t="s">
        <v>269</v>
      </c>
      <c r="G278" s="60"/>
      <c r="H278" s="60">
        <f ca="1">SUMIFS(H$270:H$277,$A$270:$A$277,"MH")</f>
        <v>0</v>
      </c>
      <c r="I278" s="60">
        <f t="shared" ref="I278:Q278" ca="1" si="91">SUMIFS(I$270:I$277,$A$270:$A$277,"MH")</f>
        <v>0</v>
      </c>
      <c r="J278" s="60">
        <f t="shared" ca="1" si="91"/>
        <v>0</v>
      </c>
      <c r="K278" s="60">
        <f t="shared" ca="1" si="91"/>
        <v>0</v>
      </c>
      <c r="L278" s="60">
        <f t="shared" ca="1" si="91"/>
        <v>0</v>
      </c>
      <c r="M278" s="60">
        <f t="shared" ca="1" si="91"/>
        <v>0</v>
      </c>
      <c r="N278" s="60">
        <f t="shared" ca="1" si="91"/>
        <v>0</v>
      </c>
      <c r="O278" s="60">
        <f t="shared" ca="1" si="91"/>
        <v>0</v>
      </c>
      <c r="P278" s="60">
        <f t="shared" ca="1" si="91"/>
        <v>0</v>
      </c>
      <c r="Q278" s="48">
        <f t="shared" ca="1" si="91"/>
        <v>0</v>
      </c>
    </row>
    <row r="279" spans="1:17" x14ac:dyDescent="0.25">
      <c r="D279" s="43" t="s">
        <v>270</v>
      </c>
      <c r="E279" s="27"/>
      <c r="F279" s="27"/>
      <c r="G279" s="61"/>
      <c r="H279" s="61">
        <f t="shared" ref="H279:Q279" ca="1" si="92">SUMIFS(H$270:H$277,$A$270:$A$277,"&lt;&gt;"&amp;"MH")</f>
        <v>0</v>
      </c>
      <c r="I279" s="61">
        <f t="shared" ca="1" si="92"/>
        <v>0</v>
      </c>
      <c r="J279" s="61">
        <f t="shared" ca="1" si="92"/>
        <v>0</v>
      </c>
      <c r="K279" s="61">
        <f t="shared" ca="1" si="92"/>
        <v>0</v>
      </c>
      <c r="L279" s="61">
        <f t="shared" ca="1" si="92"/>
        <v>0</v>
      </c>
      <c r="M279" s="61">
        <f t="shared" ca="1" si="92"/>
        <v>0</v>
      </c>
      <c r="N279" s="61">
        <f t="shared" ca="1" si="92"/>
        <v>0</v>
      </c>
      <c r="O279" s="61">
        <f t="shared" ca="1" si="92"/>
        <v>0</v>
      </c>
      <c r="P279" s="61">
        <f t="shared" ca="1" si="92"/>
        <v>0</v>
      </c>
      <c r="Q279" s="65">
        <f t="shared" ca="1" si="92"/>
        <v>0</v>
      </c>
    </row>
  </sheetData>
  <sheetProtection algorithmName="SHA-512" hashValue="/OVexW8ftqVLd7IRWhOfe+/DmjFSTNYx04gGQxNIQXfR82qPLEeHepjb1g/Q0GzSXfMxKXM0tO5ZG8bcHPKtEA==" saltValue="zDwMxenh5XH8uC6CSJjYAQ==" spinCount="100000" sheet="1" objects="1" scenarios="1"/>
  <mergeCells count="13">
    <mergeCell ref="O152:T152"/>
    <mergeCell ref="E14:Q14"/>
    <mergeCell ref="E5:Q5"/>
    <mergeCell ref="I65:L65"/>
    <mergeCell ref="D64:Q64"/>
    <mergeCell ref="D109:Q109"/>
    <mergeCell ref="J128:M128"/>
    <mergeCell ref="J129:K129"/>
    <mergeCell ref="J130:K130"/>
    <mergeCell ref="L129:M129"/>
    <mergeCell ref="L130:M130"/>
    <mergeCell ref="L131:M131"/>
    <mergeCell ref="J12:K12"/>
  </mergeCells>
  <conditionalFormatting sqref="A2:AA4 A5:C12 E12:J12 L12:Q12 A13:AA66 A67:R77 V67:AA77 A123:AA126 A127:C127 N127:AA127 O128:Q138 N128:O158 V128:AA158 A138:C140 B141:C151 D152:M172 A152:C180 O152:T182 J159:AA180 A181:AA2000">
    <cfRule type="expression" dxfId="13" priority="4">
      <formula>A2&lt;0</formula>
    </cfRule>
  </conditionalFormatting>
  <conditionalFormatting sqref="A78:AA121">
    <cfRule type="expression" dxfId="12" priority="2">
      <formula>A78&lt;0</formula>
    </cfRule>
  </conditionalFormatting>
  <conditionalFormatting sqref="D156:M156">
    <cfRule type="expression" dxfId="11" priority="14">
      <formula>AND($D$156&lt;&gt;$D$155,$D$155&lt;&gt;"-")</formula>
    </cfRule>
  </conditionalFormatting>
  <conditionalFormatting sqref="D157:M157">
    <cfRule type="expression" dxfId="10" priority="13">
      <formula>AND($D$157&lt;&gt;$D$156,$D$157&lt;&gt;$D$155)</formula>
    </cfRule>
  </conditionalFormatting>
  <conditionalFormatting sqref="D158:M158">
    <cfRule type="expression" dxfId="9" priority="12">
      <formula>AND($D$158&lt;&gt;$D$157,$D$158&lt;&gt;$D$156,$D$158&lt;&gt;$D$155)</formula>
    </cfRule>
  </conditionalFormatting>
  <conditionalFormatting sqref="D159:M159">
    <cfRule type="expression" dxfId="8" priority="11">
      <formula>AND($D$159&lt;&gt;$D$158,$D$159&lt;&gt;$D$157,$D$159&lt;&gt;$D$156,$D$159&lt;&gt;$D$155)</formula>
    </cfRule>
  </conditionalFormatting>
  <conditionalFormatting sqref="D160:M160">
    <cfRule type="expression" dxfId="7" priority="10">
      <formula>AND($D$160&lt;&gt;$D$159,$D$160&lt;&gt;$D$158,$D$160&lt;&gt;$D$157,$D$160&lt;&gt;$D$156,$D$160&lt;&gt;$D$155)</formula>
    </cfRule>
  </conditionalFormatting>
  <conditionalFormatting sqref="D161:M161">
    <cfRule type="expression" dxfId="6" priority="9">
      <formula>AND($D$161&lt;&gt;$D$160,$D$161&lt;&gt;$D$159,$D$161&lt;&gt;$D$158,$D$161&lt;&gt;$D$157,$D$161&lt;&gt;$D$156,$D$161&lt;&gt;$D$155)</formula>
    </cfRule>
  </conditionalFormatting>
  <conditionalFormatting sqref="D162:M162">
    <cfRule type="expression" dxfId="5" priority="8">
      <formula>AND($D$162&lt;&gt;$D$161,$D$162&lt;&gt;$D$160,$D$162&lt;&gt;$D$159,$D$162&lt;&gt;$D$158,$D$162&lt;&gt;$D$157,$D$162&lt;&gt;$D$156,$D$162&lt;&gt;$D$155)</formula>
    </cfRule>
  </conditionalFormatting>
  <conditionalFormatting sqref="D163:M163">
    <cfRule type="expression" dxfId="4" priority="7">
      <formula>AND($D$163&lt;&gt;$D$162,$D$163&lt;&gt;$D$161,$D$163&lt;&gt;$D$160,$D$163&lt;&gt;$D$159,$D$163&lt;&gt;$D$158,$D$163&lt;&gt;$D$157,$D$163&lt;&gt;$D$156,$D$163&lt;&gt;$D$155)</formula>
    </cfRule>
  </conditionalFormatting>
  <conditionalFormatting sqref="D164:M164">
    <cfRule type="expression" dxfId="3" priority="6">
      <formula>AND($D$164&lt;&gt;$D$163,$D$164&lt;&gt;$D$162,$D$164&lt;&gt;$D$161,$D$164&lt;&gt;$D$160,$D$164&lt;&gt;$D$159,$D$164&lt;&gt;$D$158,$D$164&lt;&gt;$D$157,$D$164&lt;&gt;$D$156,$D$164&lt;&gt;$D$155)</formula>
    </cfRule>
  </conditionalFormatting>
  <conditionalFormatting sqref="D165:M165">
    <cfRule type="expression" dxfId="2" priority="5">
      <formula>AND($D$165&lt;&gt;$D$164,$D$165&lt;&gt;$D$163,$D$165&lt;&gt;$D$162,$D$165&lt;&gt;$D$161,$D$165&lt;&gt;$D$160,$D$165&lt;&gt;$D$159,$D$165&lt;&gt;$D$158,$D$165&lt;&gt;$D$157,$D$165&lt;&gt;$D$156,$D$165&lt;&gt;$D$155)</formula>
    </cfRule>
  </conditionalFormatting>
  <conditionalFormatting sqref="E5:Q11">
    <cfRule type="expression" dxfId="1" priority="1">
      <formula>E5&lt;0</formula>
    </cfRule>
  </conditionalFormatting>
  <printOptions horizontalCentered="1" verticalCentered="1"/>
  <pageMargins left="0.7" right="0.7" top="0.25" bottom="0.25" header="0.3" footer="0.3"/>
  <pageSetup scale="54" fitToHeight="0" orientation="landscape" r:id="rId1"/>
  <rowBreaks count="3" manualBreakCount="3">
    <brk id="61" max="16383" man="1"/>
    <brk id="125" max="16383" man="1"/>
    <brk id="185" max="2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LO Inputs</vt:lpstr>
      <vt:lpstr>Dropdowns</vt:lpstr>
      <vt:lpstr>Cover</vt:lpstr>
      <vt:lpstr>Instructions</vt:lpstr>
      <vt:lpstr>Project &amp; Applicant Information</vt:lpstr>
      <vt:lpstr>Operating Budget</vt:lpstr>
      <vt:lpstr>Development Costs</vt:lpstr>
      <vt:lpstr>Sources of Funds</vt:lpstr>
      <vt:lpstr>MH Underwriting</vt:lpstr>
      <vt:lpstr>'MH Underwriting'!Print_Area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Mitchell Eden</dc:creator>
  <cp:lastModifiedBy>Mitchell Eden</cp:lastModifiedBy>
  <cp:lastPrinted>2026-03-03T11:45:29Z</cp:lastPrinted>
  <dcterms:created xsi:type="dcterms:W3CDTF">2025-07-15T14:09:38Z</dcterms:created>
  <dcterms:modified xsi:type="dcterms:W3CDTF">2026-03-03T11:54:22Z</dcterms:modified>
</cp:coreProperties>
</file>